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79e687b2be25788/שולחן העבודה/מחשבונים/"/>
    </mc:Choice>
  </mc:AlternateContent>
  <xr:revisionPtr revIDLastSave="0" documentId="8_{E8FFBBA5-7FB8-4736-9159-AD195417136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נתונים כללים" sheetId="3" r:id="rId1"/>
    <sheet name="חישוב מס הכנסה" sheetId="4" r:id="rId2"/>
    <sheet name="פריסה" sheetId="5" r:id="rId3"/>
    <sheet name="חישובי עזר " sheetId="6" state="hidden" r:id="rId4"/>
    <sheet name="גיליון1" sheetId="7" r:id="rId5"/>
  </sheets>
  <definedNames>
    <definedName name="_xlnm.Print_Area" localSheetId="0">'נתונים כללים'!$A$2:$D$11</definedName>
  </definedNames>
  <calcPr calcId="191029"/>
</workbook>
</file>

<file path=xl/calcChain.xml><?xml version="1.0" encoding="utf-8"?>
<calcChain xmlns="http://schemas.openxmlformats.org/spreadsheetml/2006/main">
  <c r="D33" i="5" l="1"/>
  <c r="D34" i="5"/>
  <c r="D35" i="5"/>
  <c r="D36" i="5"/>
  <c r="D32" i="5"/>
  <c r="D31" i="5"/>
  <c r="C11" i="4" l="1"/>
  <c r="G1" i="6" l="1"/>
  <c r="H1" i="6" s="1"/>
  <c r="F1" i="6"/>
  <c r="E19" i="5" l="1"/>
  <c r="C15" i="4" l="1"/>
  <c r="C20" i="4" l="1"/>
  <c r="J7" i="3"/>
  <c r="D21" i="5" l="1"/>
  <c r="D22" i="5"/>
  <c r="D23" i="5"/>
  <c r="D24" i="5"/>
  <c r="D20" i="5"/>
  <c r="C18" i="4" l="1"/>
  <c r="E17" i="4" l="1"/>
  <c r="E14" i="4"/>
  <c r="E20" i="4"/>
  <c r="E11" i="4"/>
  <c r="E8" i="4" l="1"/>
  <c r="B42" i="5" l="1"/>
  <c r="AM13" i="6"/>
  <c r="AI13" i="6"/>
  <c r="AE13" i="6"/>
  <c r="AA13" i="6"/>
  <c r="W13" i="6"/>
  <c r="S13" i="6"/>
  <c r="B12" i="6"/>
  <c r="B13" i="6"/>
  <c r="B14" i="6"/>
  <c r="B15" i="6"/>
  <c r="B16" i="6"/>
  <c r="B11" i="6"/>
  <c r="B8" i="6"/>
  <c r="B31" i="5" s="1"/>
  <c r="F85" i="6" s="1"/>
  <c r="B7" i="6"/>
  <c r="B19" i="5" s="1"/>
  <c r="F65" i="6" l="1"/>
  <c r="F101" i="6"/>
  <c r="F41" i="6"/>
  <c r="F113" i="6"/>
  <c r="F13" i="6"/>
  <c r="B2" i="6"/>
  <c r="B3" i="6" s="1"/>
  <c r="B8" i="5" l="1"/>
  <c r="E4" i="6"/>
  <c r="B4" i="6" s="1"/>
  <c r="C4" i="6" s="1"/>
  <c r="D4" i="6" s="1"/>
  <c r="B18" i="6" s="1"/>
  <c r="C3" i="6"/>
  <c r="B5" i="6" s="1"/>
  <c r="L2" i="3"/>
  <c r="L4" i="3" s="1"/>
  <c r="M4" i="3" s="1"/>
  <c r="A42" i="5" l="1"/>
  <c r="A47" i="5" s="1"/>
  <c r="F74" i="6"/>
  <c r="F73" i="6" s="1"/>
  <c r="I65" i="6" s="1"/>
  <c r="F116" i="6"/>
  <c r="F115" i="6" s="1"/>
  <c r="I113" i="6" s="1"/>
  <c r="F52" i="6"/>
  <c r="F51" i="6" s="1"/>
  <c r="I41" i="6" s="1"/>
  <c r="F106" i="6"/>
  <c r="F105" i="6" s="1"/>
  <c r="I101" i="6" s="1"/>
  <c r="F26" i="6"/>
  <c r="F25" i="6" s="1"/>
  <c r="I13" i="6" s="1"/>
  <c r="F92" i="6"/>
  <c r="F91" i="6" s="1"/>
  <c r="B19" i="6"/>
  <c r="C18" i="6"/>
  <c r="B32" i="5"/>
  <c r="B20" i="5"/>
  <c r="B21" i="5" s="1"/>
  <c r="B22" i="5" s="1"/>
  <c r="B23" i="5" s="1"/>
  <c r="B24" i="5" s="1"/>
  <c r="M6" i="3"/>
  <c r="I42" i="6" l="1"/>
  <c r="K41" i="6"/>
  <c r="K13" i="6"/>
  <c r="I14" i="6"/>
  <c r="K65" i="6"/>
  <c r="I66" i="6"/>
  <c r="I17" i="6"/>
  <c r="K17" i="6" s="1"/>
  <c r="I105" i="6"/>
  <c r="K105" i="6" s="1"/>
  <c r="I45" i="6"/>
  <c r="I69" i="6"/>
  <c r="I89" i="6"/>
  <c r="K89" i="6" s="1"/>
  <c r="I85" i="6"/>
  <c r="K101" i="6"/>
  <c r="I102" i="6"/>
  <c r="A43" i="5"/>
  <c r="B43" i="5" s="1"/>
  <c r="A45" i="5"/>
  <c r="A44" i="5"/>
  <c r="B44" i="5" s="1"/>
  <c r="A46" i="5"/>
  <c r="C42" i="5"/>
  <c r="B33" i="5"/>
  <c r="I93" i="6" s="1"/>
  <c r="K93" i="6" s="1"/>
  <c r="B20" i="6"/>
  <c r="C19" i="6"/>
  <c r="K14" i="6" l="1"/>
  <c r="I15" i="6"/>
  <c r="I67" i="6"/>
  <c r="K66" i="6"/>
  <c r="C43" i="5"/>
  <c r="I103" i="6"/>
  <c r="K102" i="6"/>
  <c r="I21" i="6"/>
  <c r="K21" i="6" s="1"/>
  <c r="I49" i="6"/>
  <c r="I73" i="6"/>
  <c r="K85" i="6"/>
  <c r="I86" i="6"/>
  <c r="I43" i="6"/>
  <c r="K43" i="6" s="1"/>
  <c r="K42" i="6"/>
  <c r="B45" i="5"/>
  <c r="I108" i="6"/>
  <c r="I106" i="6"/>
  <c r="I72" i="6"/>
  <c r="K69" i="6"/>
  <c r="I70" i="6"/>
  <c r="I94" i="6"/>
  <c r="I92" i="6"/>
  <c r="I90" i="6"/>
  <c r="I48" i="6"/>
  <c r="K48" i="6" s="1"/>
  <c r="K45" i="6"/>
  <c r="I46" i="6"/>
  <c r="B21" i="6"/>
  <c r="C20" i="6"/>
  <c r="C44" i="5" s="1"/>
  <c r="I20" i="6"/>
  <c r="K20" i="6" s="1"/>
  <c r="I18" i="6"/>
  <c r="K18" i="6" s="1"/>
  <c r="B34" i="5"/>
  <c r="I44" i="6" l="1"/>
  <c r="K44" i="6" s="1"/>
  <c r="I53" i="6"/>
  <c r="I25" i="6"/>
  <c r="K25" i="6" s="1"/>
  <c r="I77" i="6"/>
  <c r="I104" i="6"/>
  <c r="I16" i="6"/>
  <c r="K15" i="6"/>
  <c r="K86" i="6"/>
  <c r="I87" i="6"/>
  <c r="K67" i="6"/>
  <c r="I68" i="6"/>
  <c r="K68" i="6" s="1"/>
  <c r="I91" i="6"/>
  <c r="K90" i="6"/>
  <c r="I95" i="6"/>
  <c r="K94" i="6"/>
  <c r="I107" i="6"/>
  <c r="K106" i="6"/>
  <c r="K72" i="6"/>
  <c r="B46" i="5"/>
  <c r="I71" i="6"/>
  <c r="K71" i="6" s="1"/>
  <c r="K70" i="6"/>
  <c r="I47" i="6"/>
  <c r="K47" i="6" s="1"/>
  <c r="K46" i="6"/>
  <c r="I50" i="6"/>
  <c r="K49" i="6"/>
  <c r="I74" i="6"/>
  <c r="K73" i="6"/>
  <c r="I19" i="6"/>
  <c r="K19" i="6" s="1"/>
  <c r="I22" i="6"/>
  <c r="K22" i="6" s="1"/>
  <c r="B35" i="5"/>
  <c r="B22" i="6"/>
  <c r="C21" i="6"/>
  <c r="K16" i="6" l="1"/>
  <c r="C45" i="5"/>
  <c r="K87" i="6"/>
  <c r="K92" i="6"/>
  <c r="K91" i="6"/>
  <c r="I29" i="6"/>
  <c r="K29" i="6" s="1"/>
  <c r="I57" i="6"/>
  <c r="I88" i="6"/>
  <c r="K88" i="6" s="1"/>
  <c r="I96" i="6"/>
  <c r="K96" i="6" s="1"/>
  <c r="K95" i="6"/>
  <c r="B47" i="5"/>
  <c r="I78" i="6"/>
  <c r="K77" i="6"/>
  <c r="I75" i="6"/>
  <c r="K74" i="6"/>
  <c r="I51" i="6"/>
  <c r="K50" i="6"/>
  <c r="I54" i="6"/>
  <c r="K53" i="6"/>
  <c r="I23" i="6"/>
  <c r="I26" i="6"/>
  <c r="K26" i="6" s="1"/>
  <c r="B23" i="6"/>
  <c r="C23" i="6" s="1"/>
  <c r="C22" i="6"/>
  <c r="B36" i="5"/>
  <c r="I33" i="6" s="1"/>
  <c r="C47" i="5" l="1"/>
  <c r="K103" i="6"/>
  <c r="K108" i="6"/>
  <c r="K107" i="6"/>
  <c r="K104" i="6"/>
  <c r="C46" i="5"/>
  <c r="I52" i="6"/>
  <c r="K52" i="6" s="1"/>
  <c r="K51" i="6"/>
  <c r="I34" i="6"/>
  <c r="K34" i="6" s="1"/>
  <c r="I55" i="6"/>
  <c r="K54" i="6"/>
  <c r="I76" i="6"/>
  <c r="K76" i="6" s="1"/>
  <c r="K75" i="6"/>
  <c r="I79" i="6"/>
  <c r="K78" i="6"/>
  <c r="I58" i="6"/>
  <c r="K57" i="6"/>
  <c r="I27" i="6"/>
  <c r="I24" i="6"/>
  <c r="K23" i="6"/>
  <c r="I30" i="6"/>
  <c r="K30" i="6" s="1"/>
  <c r="K33" i="6" l="1"/>
  <c r="K24" i="6"/>
  <c r="I59" i="6"/>
  <c r="K58" i="6"/>
  <c r="I80" i="6"/>
  <c r="K80" i="6" s="1"/>
  <c r="K79" i="6"/>
  <c r="I56" i="6"/>
  <c r="K56" i="6" s="1"/>
  <c r="K55" i="6"/>
  <c r="I35" i="6"/>
  <c r="I31" i="6"/>
  <c r="I28" i="6"/>
  <c r="K27" i="6"/>
  <c r="I60" i="6" l="1"/>
  <c r="K60" i="6" s="1"/>
  <c r="K59" i="6"/>
  <c r="K28" i="6"/>
  <c r="I32" i="6"/>
  <c r="K31" i="6"/>
  <c r="I36" i="6"/>
  <c r="K35" i="6"/>
  <c r="K36" i="6" l="1"/>
  <c r="K32" i="6"/>
  <c r="G3" i="3" l="1"/>
  <c r="G2" i="3"/>
  <c r="G5" i="3"/>
  <c r="G4" i="3"/>
  <c r="I18" i="3"/>
  <c r="G1" i="3"/>
  <c r="G16" i="3" l="1"/>
  <c r="G15" i="3"/>
  <c r="D15" i="3"/>
  <c r="D14" i="3"/>
  <c r="C6" i="3"/>
  <c r="J4" i="6" s="1"/>
  <c r="C7" i="3"/>
  <c r="J5" i="6" s="1"/>
  <c r="C8" i="3"/>
  <c r="J6" i="6" s="1"/>
  <c r="C9" i="3"/>
  <c r="J7" i="6" s="1"/>
  <c r="C10" i="3"/>
  <c r="J8" i="6" s="1"/>
  <c r="C11" i="3"/>
  <c r="J9" i="6" s="1"/>
  <c r="C5" i="3"/>
  <c r="H19" i="3" l="1"/>
  <c r="I19" i="3" s="1"/>
  <c r="J19" i="3" s="1"/>
  <c r="I8" i="4" s="1"/>
  <c r="J3" i="6"/>
  <c r="M8" i="3"/>
  <c r="N8" i="3" s="1"/>
  <c r="M9" i="3"/>
  <c r="N9" i="3" s="1"/>
  <c r="N10" i="3" s="1"/>
  <c r="N11" i="3" s="1"/>
  <c r="H22" i="3"/>
  <c r="H21" i="3"/>
  <c r="H20" i="3"/>
  <c r="I20" i="3" s="1"/>
  <c r="J20" i="3" s="1"/>
  <c r="I11" i="4" s="1"/>
  <c r="H33" i="3"/>
  <c r="E15" i="3"/>
  <c r="H26" i="3"/>
  <c r="H30" i="3"/>
  <c r="H38" i="3"/>
  <c r="I38" i="3" s="1"/>
  <c r="H36" i="3"/>
  <c r="I36" i="3" s="1"/>
  <c r="H29" i="3"/>
  <c r="H27" i="3"/>
  <c r="H31" i="3"/>
  <c r="H24" i="3"/>
  <c r="H28" i="3"/>
  <c r="H25" i="3"/>
  <c r="H37" i="3"/>
  <c r="I37" i="3" s="1"/>
  <c r="H23" i="3"/>
  <c r="H34" i="3"/>
  <c r="I34" i="3" s="1"/>
  <c r="L105" i="6" l="1"/>
  <c r="M105" i="6" s="1"/>
  <c r="N105" i="6" s="1"/>
  <c r="L17" i="6"/>
  <c r="M17" i="6" s="1"/>
  <c r="N17" i="6" s="1"/>
  <c r="L101" i="6"/>
  <c r="M101" i="6" s="1"/>
  <c r="N101" i="6" s="1"/>
  <c r="L65" i="6"/>
  <c r="M65" i="6" s="1"/>
  <c r="N65" i="6" s="1"/>
  <c r="L93" i="6"/>
  <c r="M93" i="6" s="1"/>
  <c r="N93" i="6" s="1"/>
  <c r="L41" i="6"/>
  <c r="M41" i="6" s="1"/>
  <c r="N41" i="6" s="1"/>
  <c r="L13" i="6"/>
  <c r="M13" i="6" s="1"/>
  <c r="N13" i="6" s="1"/>
  <c r="L48" i="6"/>
  <c r="M48" i="6" s="1"/>
  <c r="N48" i="6" s="1"/>
  <c r="L21" i="6"/>
  <c r="M21" i="6" s="1"/>
  <c r="N21" i="6" s="1"/>
  <c r="L102" i="6"/>
  <c r="M102" i="6" s="1"/>
  <c r="N102" i="6" s="1"/>
  <c r="L43" i="6"/>
  <c r="M43" i="6" s="1"/>
  <c r="N43" i="6" s="1"/>
  <c r="H43" i="6" s="1"/>
  <c r="L45" i="6"/>
  <c r="M45" i="6" s="1"/>
  <c r="N45" i="6" s="1"/>
  <c r="L20" i="6"/>
  <c r="M20" i="6" s="1"/>
  <c r="N20" i="6" s="1"/>
  <c r="L85" i="6"/>
  <c r="M85" i="6" s="1"/>
  <c r="N85" i="6" s="1"/>
  <c r="L42" i="6"/>
  <c r="M42" i="6" s="1"/>
  <c r="N42" i="6" s="1"/>
  <c r="L14" i="6"/>
  <c r="M14" i="6" s="1"/>
  <c r="N14" i="6" s="1"/>
  <c r="L66" i="6"/>
  <c r="M66" i="6" s="1"/>
  <c r="N66" i="6" s="1"/>
  <c r="L69" i="6"/>
  <c r="M69" i="6" s="1"/>
  <c r="N69" i="6" s="1"/>
  <c r="L18" i="6"/>
  <c r="M18" i="6" s="1"/>
  <c r="N18" i="6" s="1"/>
  <c r="L19" i="6"/>
  <c r="M19" i="6" s="1"/>
  <c r="N19" i="6" s="1"/>
  <c r="H19" i="6" s="1"/>
  <c r="L72" i="6"/>
  <c r="M72" i="6" s="1"/>
  <c r="N72" i="6" s="1"/>
  <c r="L15" i="6"/>
  <c r="M15" i="6" s="1"/>
  <c r="N15" i="6" s="1"/>
  <c r="L90" i="6"/>
  <c r="M90" i="6" s="1"/>
  <c r="N90" i="6" s="1"/>
  <c r="L67" i="6"/>
  <c r="M67" i="6" s="1"/>
  <c r="N67" i="6" s="1"/>
  <c r="H67" i="6" s="1"/>
  <c r="L25" i="6"/>
  <c r="M25" i="6" s="1"/>
  <c r="N25" i="6" s="1"/>
  <c r="L94" i="6"/>
  <c r="M94" i="6" s="1"/>
  <c r="N94" i="6" s="1"/>
  <c r="L49" i="6"/>
  <c r="M49" i="6" s="1"/>
  <c r="N49" i="6" s="1"/>
  <c r="L71" i="6"/>
  <c r="M71" i="6" s="1"/>
  <c r="N71" i="6" s="1"/>
  <c r="H71" i="6" s="1"/>
  <c r="L106" i="6"/>
  <c r="M106" i="6" s="1"/>
  <c r="N106" i="6" s="1"/>
  <c r="L46" i="6"/>
  <c r="M46" i="6" s="1"/>
  <c r="N46" i="6" s="1"/>
  <c r="L47" i="6"/>
  <c r="M47" i="6" s="1"/>
  <c r="N47" i="6" s="1"/>
  <c r="H47" i="6" s="1"/>
  <c r="L68" i="6"/>
  <c r="M68" i="6" s="1"/>
  <c r="N68" i="6" s="1"/>
  <c r="H68" i="6" s="1"/>
  <c r="L86" i="6"/>
  <c r="M86" i="6" s="1"/>
  <c r="N86" i="6" s="1"/>
  <c r="L22" i="6"/>
  <c r="M22" i="6" s="1"/>
  <c r="N22" i="6" s="1"/>
  <c r="L70" i="6"/>
  <c r="M70" i="6" s="1"/>
  <c r="N70" i="6" s="1"/>
  <c r="L44" i="6"/>
  <c r="M44" i="6" s="1"/>
  <c r="N44" i="6" s="1"/>
  <c r="L73" i="6"/>
  <c r="M73" i="6" s="1"/>
  <c r="N73" i="6" s="1"/>
  <c r="L91" i="6"/>
  <c r="M91" i="6" s="1"/>
  <c r="N91" i="6" s="1"/>
  <c r="L88" i="6"/>
  <c r="M88" i="6" s="1"/>
  <c r="N88" i="6" s="1"/>
  <c r="H88" i="6" s="1"/>
  <c r="L77" i="6"/>
  <c r="M77" i="6" s="1"/>
  <c r="N77" i="6" s="1"/>
  <c r="L92" i="6"/>
  <c r="M92" i="6" s="1"/>
  <c r="N92" i="6" s="1"/>
  <c r="L74" i="6"/>
  <c r="M74" i="6" s="1"/>
  <c r="N74" i="6" s="1"/>
  <c r="L89" i="6"/>
  <c r="M89" i="6" s="1"/>
  <c r="N89" i="6" s="1"/>
  <c r="L29" i="6"/>
  <c r="M29" i="6" s="1"/>
  <c r="N29" i="6" s="1"/>
  <c r="L96" i="6"/>
  <c r="M96" i="6" s="1"/>
  <c r="N96" i="6" s="1"/>
  <c r="H96" i="6" s="1"/>
  <c r="L95" i="6"/>
  <c r="M95" i="6" s="1"/>
  <c r="N95" i="6" s="1"/>
  <c r="H95" i="6" s="1"/>
  <c r="L87" i="6"/>
  <c r="M87" i="6" s="1"/>
  <c r="N87" i="6" s="1"/>
  <c r="H87" i="6" s="1"/>
  <c r="L16" i="6"/>
  <c r="M16" i="6" s="1"/>
  <c r="N16" i="6" s="1"/>
  <c r="H16" i="6" s="1"/>
  <c r="L53" i="6"/>
  <c r="M53" i="6" s="1"/>
  <c r="N53" i="6" s="1"/>
  <c r="L26" i="6"/>
  <c r="M26" i="6" s="1"/>
  <c r="N26" i="6" s="1"/>
  <c r="L50" i="6"/>
  <c r="M50" i="6" s="1"/>
  <c r="N50" i="6" s="1"/>
  <c r="L103" i="6"/>
  <c r="M103" i="6" s="1"/>
  <c r="N103" i="6" s="1"/>
  <c r="H103" i="6" s="1"/>
  <c r="L75" i="6"/>
  <c r="M75" i="6" s="1"/>
  <c r="N75" i="6" s="1"/>
  <c r="H75" i="6" s="1"/>
  <c r="L51" i="6"/>
  <c r="M51" i="6" s="1"/>
  <c r="N51" i="6" s="1"/>
  <c r="H51" i="6" s="1"/>
  <c r="L57" i="6"/>
  <c r="M57" i="6" s="1"/>
  <c r="N57" i="6" s="1"/>
  <c r="L107" i="6"/>
  <c r="M107" i="6" s="1"/>
  <c r="N107" i="6" s="1"/>
  <c r="H107" i="6" s="1"/>
  <c r="H110" i="6" s="1"/>
  <c r="D46" i="5" s="1"/>
  <c r="F46" i="5" s="1"/>
  <c r="L76" i="6"/>
  <c r="M76" i="6" s="1"/>
  <c r="N76" i="6" s="1"/>
  <c r="H76" i="6" s="1"/>
  <c r="L78" i="6"/>
  <c r="M78" i="6" s="1"/>
  <c r="N78" i="6" s="1"/>
  <c r="L104" i="6"/>
  <c r="M104" i="6" s="1"/>
  <c r="N104" i="6" s="1"/>
  <c r="H104" i="6" s="1"/>
  <c r="L34" i="6"/>
  <c r="M34" i="6" s="1"/>
  <c r="N34" i="6" s="1"/>
  <c r="L30" i="6"/>
  <c r="M30" i="6" s="1"/>
  <c r="N30" i="6" s="1"/>
  <c r="L23" i="6"/>
  <c r="M23" i="6" s="1"/>
  <c r="N23" i="6" s="1"/>
  <c r="H23" i="6" s="1"/>
  <c r="L52" i="6"/>
  <c r="M52" i="6" s="1"/>
  <c r="N52" i="6" s="1"/>
  <c r="H52" i="6" s="1"/>
  <c r="L54" i="6"/>
  <c r="M54" i="6" s="1"/>
  <c r="N54" i="6" s="1"/>
  <c r="L108" i="6"/>
  <c r="M108" i="6" s="1"/>
  <c r="N108" i="6" s="1"/>
  <c r="H108" i="6" s="1"/>
  <c r="H111" i="6" s="1"/>
  <c r="E46" i="5" s="1"/>
  <c r="L80" i="6"/>
  <c r="M80" i="6" s="1"/>
  <c r="N80" i="6" s="1"/>
  <c r="H80" i="6" s="1"/>
  <c r="L79" i="6"/>
  <c r="M79" i="6" s="1"/>
  <c r="N79" i="6" s="1"/>
  <c r="L24" i="6"/>
  <c r="M24" i="6" s="1"/>
  <c r="N24" i="6" s="1"/>
  <c r="H24" i="6" s="1"/>
  <c r="L56" i="6"/>
  <c r="M56" i="6" s="1"/>
  <c r="N56" i="6" s="1"/>
  <c r="L33" i="6"/>
  <c r="M33" i="6" s="1"/>
  <c r="N33" i="6" s="1"/>
  <c r="L27" i="6"/>
  <c r="M27" i="6" s="1"/>
  <c r="N27" i="6" s="1"/>
  <c r="H27" i="6" s="1"/>
  <c r="L58" i="6"/>
  <c r="M58" i="6" s="1"/>
  <c r="N58" i="6" s="1"/>
  <c r="L55" i="6"/>
  <c r="M55" i="6" s="1"/>
  <c r="N55" i="6" s="1"/>
  <c r="H55" i="6" s="1"/>
  <c r="L59" i="6"/>
  <c r="M59" i="6" s="1"/>
  <c r="N59" i="6" s="1"/>
  <c r="L60" i="6"/>
  <c r="M60" i="6" s="1"/>
  <c r="N60" i="6" s="1"/>
  <c r="L28" i="6"/>
  <c r="M28" i="6" s="1"/>
  <c r="N28" i="6" s="1"/>
  <c r="H28" i="6" s="1"/>
  <c r="L35" i="6"/>
  <c r="M35" i="6" s="1"/>
  <c r="N35" i="6" s="1"/>
  <c r="L31" i="6"/>
  <c r="M31" i="6" s="1"/>
  <c r="N31" i="6" s="1"/>
  <c r="H31" i="6" s="1"/>
  <c r="L36" i="6"/>
  <c r="M36" i="6" s="1"/>
  <c r="N36" i="6" s="1"/>
  <c r="H36" i="6" s="1"/>
  <c r="L32" i="6"/>
  <c r="M32" i="6" s="1"/>
  <c r="N32" i="6" s="1"/>
  <c r="H32" i="6" s="1"/>
  <c r="O41" i="3"/>
  <c r="Q41" i="3"/>
  <c r="N41" i="3" s="1"/>
  <c r="J34" i="3"/>
  <c r="H48" i="6" l="1"/>
  <c r="H15" i="6"/>
  <c r="H35" i="6"/>
  <c r="H38" i="6" s="1"/>
  <c r="D42" i="5" s="1"/>
  <c r="F42" i="5" s="1"/>
  <c r="H56" i="6"/>
  <c r="H72" i="6"/>
  <c r="H20" i="6"/>
  <c r="H39" i="6" s="1"/>
  <c r="E42" i="5" s="1"/>
  <c r="H44" i="6"/>
  <c r="H79" i="6"/>
  <c r="H82" i="6" s="1"/>
  <c r="D44" i="5" s="1"/>
  <c r="F44" i="5" s="1"/>
  <c r="H91" i="6"/>
  <c r="H98" i="6" s="1"/>
  <c r="D45" i="5" s="1"/>
  <c r="F45" i="5" s="1"/>
  <c r="H60" i="6"/>
  <c r="H63" i="6" s="1"/>
  <c r="E43" i="5" s="1"/>
  <c r="H59" i="6"/>
  <c r="H62" i="6" s="1"/>
  <c r="D43" i="5" s="1"/>
  <c r="F43" i="5" s="1"/>
  <c r="H83" i="6"/>
  <c r="E44" i="5" s="1"/>
  <c r="H92" i="6"/>
  <c r="H99" i="6" s="1"/>
  <c r="E45" i="5" s="1"/>
  <c r="M30" i="3"/>
  <c r="O30" i="3" s="1"/>
  <c r="I33" i="3" l="1"/>
  <c r="J33" i="3"/>
  <c r="J35" i="3" s="1"/>
  <c r="J40" i="3"/>
  <c r="J41" i="3" s="1"/>
  <c r="G14" i="3" l="1"/>
  <c r="H32" i="3" l="1"/>
  <c r="P5" i="3" l="1"/>
  <c r="P6" i="3"/>
  <c r="P7" i="3"/>
  <c r="P8" i="3"/>
  <c r="P9" i="3"/>
  <c r="P10" i="3"/>
  <c r="P13" i="3"/>
  <c r="Q13" i="3" s="1"/>
  <c r="Q6" i="3" l="1"/>
  <c r="Q7" i="3" s="1"/>
  <c r="Q8" i="3" s="1"/>
  <c r="Q9" i="3" s="1"/>
  <c r="Q10" i="3" s="1"/>
  <c r="G8" i="4"/>
  <c r="K8" i="4" s="1"/>
  <c r="Q5" i="3"/>
  <c r="Q14" i="3" l="1"/>
  <c r="G11" i="4"/>
  <c r="K11" i="4" s="1"/>
  <c r="G17" i="3" l="1"/>
  <c r="H35" i="3" l="1"/>
  <c r="I35" i="3" s="1"/>
  <c r="I24" i="3" l="1"/>
  <c r="J24" i="3" s="1"/>
  <c r="I23" i="3"/>
  <c r="I21" i="3"/>
  <c r="J23" i="3" l="1"/>
  <c r="I20" i="4" s="1"/>
  <c r="G20" i="4" s="1"/>
  <c r="K20" i="4" s="1"/>
  <c r="J21" i="3"/>
  <c r="I14" i="4" s="1"/>
  <c r="G14" i="4" s="1"/>
  <c r="K14" i="4" s="1"/>
  <c r="I22" i="3"/>
  <c r="J22" i="3" s="1"/>
  <c r="I17" i="4" s="1"/>
  <c r="G17" i="4" l="1"/>
  <c r="K17" i="4" s="1"/>
  <c r="I114" i="6" l="1"/>
  <c r="I115" i="6" s="1"/>
  <c r="K113" i="6"/>
  <c r="L113" i="6" s="1"/>
  <c r="M113" i="6" s="1"/>
  <c r="N113" i="6" s="1"/>
  <c r="I116" i="6" l="1"/>
  <c r="K116" i="6" s="1"/>
  <c r="L116" i="6" s="1"/>
  <c r="M116" i="6" s="1"/>
  <c r="N116" i="6" s="1"/>
  <c r="K115" i="6"/>
  <c r="L115" i="6" s="1"/>
  <c r="M115" i="6" s="1"/>
  <c r="N115" i="6" s="1"/>
  <c r="H115" i="6" s="1"/>
  <c r="K114" i="6"/>
  <c r="L114" i="6" s="1"/>
  <c r="M114" i="6" s="1"/>
  <c r="N114" i="6" s="1"/>
  <c r="H116" i="6" l="1"/>
  <c r="H119" i="6" s="1"/>
  <c r="E47" i="5" s="1"/>
  <c r="H118" i="6"/>
  <c r="D47" i="5" s="1"/>
  <c r="F47" i="5" s="1"/>
</calcChain>
</file>

<file path=xl/sharedStrings.xml><?xml version="1.0" encoding="utf-8"?>
<sst xmlns="http://schemas.openxmlformats.org/spreadsheetml/2006/main" count="187" uniqueCount="74">
  <si>
    <t>מדרגות מס</t>
  </si>
  <si>
    <t>שווי נ. זכות</t>
  </si>
  <si>
    <t>נ.ז אשה</t>
  </si>
  <si>
    <t>נ. ז גבר</t>
  </si>
  <si>
    <t>חודשי</t>
  </si>
  <si>
    <t>שנתי</t>
  </si>
  <si>
    <t>עד</t>
  </si>
  <si>
    <t>מעל</t>
  </si>
  <si>
    <t>רבית היוון</t>
  </si>
  <si>
    <t>הכנסת עבודה</t>
  </si>
  <si>
    <t>תקרות</t>
  </si>
  <si>
    <t>פיצ</t>
  </si>
  <si>
    <t>פטור</t>
  </si>
  <si>
    <t>קצבה מ</t>
  </si>
  <si>
    <t>שנה</t>
  </si>
  <si>
    <t>גיל פרישה</t>
  </si>
  <si>
    <t>ת. לידה</t>
  </si>
  <si>
    <t>נ.זיכוי</t>
  </si>
  <si>
    <t xml:space="preserve">נתונים </t>
  </si>
  <si>
    <t xml:space="preserve">הכנסה  חודשית </t>
  </si>
  <si>
    <t xml:space="preserve">שנתי </t>
  </si>
  <si>
    <t>מס לתשלום שנה</t>
  </si>
  <si>
    <t>מס לתשלום חודש</t>
  </si>
  <si>
    <t xml:space="preserve">פטור </t>
  </si>
  <si>
    <t>גמל והשתלמות</t>
  </si>
  <si>
    <t>הפקדה לפנסיה</t>
  </si>
  <si>
    <t>הפקדה לק. השת</t>
  </si>
  <si>
    <t>נטו לאחר מ"ה , ב.ל והפקדות</t>
  </si>
  <si>
    <t xml:space="preserve">שם הלקוח </t>
  </si>
  <si>
    <t>תחילת עבודה</t>
  </si>
  <si>
    <t xml:space="preserve">תאריך פרישה </t>
  </si>
  <si>
    <t xml:space="preserve">ותק </t>
  </si>
  <si>
    <t xml:space="preserve">רבעון אחרון </t>
  </si>
  <si>
    <t>כן</t>
  </si>
  <si>
    <t xml:space="preserve">לא </t>
  </si>
  <si>
    <t>הזזת שנה ראשונה</t>
  </si>
  <si>
    <t xml:space="preserve">ימים </t>
  </si>
  <si>
    <t xml:space="preserve">שנים </t>
  </si>
  <si>
    <t xml:space="preserve">שנות פריסה קדימה </t>
  </si>
  <si>
    <t>שנות פריסה אחורה</t>
  </si>
  <si>
    <t>שנת פריסה אחורה</t>
  </si>
  <si>
    <t xml:space="preserve">שנה פריסה קדימה </t>
  </si>
  <si>
    <t>פריסה אחורה</t>
  </si>
  <si>
    <t xml:space="preserve">פריסה קדימה </t>
  </si>
  <si>
    <t>קצבה</t>
  </si>
  <si>
    <t>נקודות זיכוי</t>
  </si>
  <si>
    <t>סכום לפריסה</t>
  </si>
  <si>
    <t>סכום לפריסה לפי שנים</t>
  </si>
  <si>
    <t>פריסה קדימה מאקסימום</t>
  </si>
  <si>
    <t>מלא</t>
  </si>
  <si>
    <t>ה.רגיל</t>
  </si>
  <si>
    <t>ה פחות פטור</t>
  </si>
  <si>
    <t xml:space="preserve">ה.רגיל + פריסה </t>
  </si>
  <si>
    <t>ה. - פטור + פרי</t>
  </si>
  <si>
    <t xml:space="preserve">מס ללא פטור </t>
  </si>
  <si>
    <t>מס כולל פטור</t>
  </si>
  <si>
    <t xml:space="preserve">תוצאות פריסה קדימה </t>
  </si>
  <si>
    <t xml:space="preserve">שנות פריסה </t>
  </si>
  <si>
    <t>סכום פריסה</t>
  </si>
  <si>
    <t>פריסה לשנה</t>
  </si>
  <si>
    <t>מס ללא פטור</t>
  </si>
  <si>
    <t xml:space="preserve">מס כולל פטור </t>
  </si>
  <si>
    <t>מלא פחות 1</t>
  </si>
  <si>
    <t>מלא פחות 2</t>
  </si>
  <si>
    <t>מלא פחות 3</t>
  </si>
  <si>
    <t>מלא פחות 4</t>
  </si>
  <si>
    <t>מלא פחות 5</t>
  </si>
  <si>
    <t xml:space="preserve"> </t>
  </si>
  <si>
    <t>שיעור מס ממוצע</t>
  </si>
  <si>
    <t>נטו חודשי</t>
  </si>
  <si>
    <t>פטור חודשי</t>
  </si>
  <si>
    <t>שנתי למס</t>
  </si>
  <si>
    <t>תוצאה נכון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</si>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</sst>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₪&quot;\ #,##0.00;[Red]&quot;₪&quot;\ \-#,##0.00"/>
    <numFmt numFmtId="43" formatCode="_ * #,##0.00_ ;_ * \-#,##0.00_ ;_ * &quot;-&quot;??_ ;_ @_ "/>
    <numFmt numFmtId="164" formatCode="mm/yyyy"/>
    <numFmt numFmtId="165" formatCode="_-* #,##0.00_-;\-* #,##0.00_-;_-* &quot;-&quot;??_-;_-@_-"/>
    <numFmt numFmtId="166" formatCode="_-* #,##0_-;\-* #,##0_-;_-* &quot;-&quot;??_-;_-@_-"/>
    <numFmt numFmtId="167" formatCode="0.0%"/>
    <numFmt numFmtId="168" formatCode="_ * #,##0_ ;_ * \-#,##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47">
    <xf numFmtId="0" fontId="0" fillId="0" borderId="0" xfId="0"/>
    <xf numFmtId="9" fontId="0" fillId="0" borderId="0" xfId="0" applyNumberFormat="1"/>
    <xf numFmtId="14" fontId="0" fillId="0" borderId="0" xfId="0" applyNumberFormat="1"/>
    <xf numFmtId="2" fontId="0" fillId="0" borderId="0" xfId="0" applyNumberFormat="1"/>
    <xf numFmtId="164" fontId="2" fillId="2" borderId="1" xfId="3" applyNumberFormat="1" applyFont="1" applyFill="1" applyBorder="1" applyAlignment="1">
      <alignment horizontal="center"/>
    </xf>
    <xf numFmtId="166" fontId="2" fillId="2" borderId="2" xfId="4" applyNumberFormat="1" applyFont="1" applyFill="1" applyBorder="1"/>
    <xf numFmtId="9" fontId="0" fillId="0" borderId="0" xfId="2" applyFont="1"/>
    <xf numFmtId="167" fontId="0" fillId="0" borderId="0" xfId="2" applyNumberFormat="1" applyFont="1"/>
    <xf numFmtId="168" fontId="0" fillId="0" borderId="0" xfId="1" applyNumberFormat="1" applyFont="1"/>
    <xf numFmtId="168" fontId="0" fillId="0" borderId="0" xfId="0" applyNumberFormat="1"/>
    <xf numFmtId="0" fontId="4" fillId="0" borderId="0" xfId="0" applyFont="1"/>
    <xf numFmtId="43" fontId="0" fillId="0" borderId="0" xfId="0" applyNumberFormat="1"/>
    <xf numFmtId="8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/>
    <xf numFmtId="168" fontId="3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8" fontId="0" fillId="0" borderId="0" xfId="1" applyNumberFormat="1" applyFont="1" applyAlignment="1">
      <alignment horizontal="center"/>
    </xf>
    <xf numFmtId="168" fontId="3" fillId="0" borderId="0" xfId="1" applyNumberFormat="1" applyFont="1" applyAlignment="1">
      <alignment horizontal="center"/>
    </xf>
    <xf numFmtId="0" fontId="5" fillId="0" borderId="0" xfId="0" applyFont="1"/>
    <xf numFmtId="0" fontId="0" fillId="5" borderId="0" xfId="0" applyFill="1" applyBorder="1"/>
    <xf numFmtId="0" fontId="0" fillId="5" borderId="0" xfId="0" applyFill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2" fontId="0" fillId="4" borderId="2" xfId="0" applyNumberFormat="1" applyFill="1" applyBorder="1"/>
    <xf numFmtId="9" fontId="0" fillId="0" borderId="0" xfId="2" applyFont="1" applyAlignment="1">
      <alignment horizontal="center"/>
    </xf>
    <xf numFmtId="0" fontId="0" fillId="3" borderId="0" xfId="0" applyFill="1" applyProtection="1">
      <protection locked="0"/>
    </xf>
    <xf numFmtId="168" fontId="0" fillId="3" borderId="0" xfId="1" applyNumberFormat="1" applyFont="1" applyFill="1" applyAlignment="1" applyProtection="1">
      <protection locked="0"/>
    </xf>
    <xf numFmtId="0" fontId="0" fillId="3" borderId="2" xfId="0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68" fontId="0" fillId="3" borderId="2" xfId="1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</cellXfs>
  <cellStyles count="5">
    <cellStyle name="Comma" xfId="1" builtinId="3"/>
    <cellStyle name="Comma 3" xfId="4" xr:uid="{00000000-0005-0000-0000-000001000000}"/>
    <cellStyle name="Normal" xfId="0" builtinId="0"/>
    <cellStyle name="Normal 3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1"/>
  <sheetViews>
    <sheetView rightToLeft="1" workbookViewId="0">
      <selection activeCell="C24" sqref="C24"/>
    </sheetView>
  </sheetViews>
  <sheetFormatPr defaultRowHeight="14" x14ac:dyDescent="0.3"/>
  <cols>
    <col min="13" max="14" width="9.83203125" bestFit="1" customWidth="1"/>
    <col min="17" max="17" width="11.83203125" bestFit="1" customWidth="1"/>
  </cols>
  <sheetData>
    <row r="1" spans="1:17" x14ac:dyDescent="0.3">
      <c r="F1">
        <v>1</v>
      </c>
      <c r="G1">
        <f>+'חישוב מס הכנסה'!E8</f>
        <v>97632</v>
      </c>
    </row>
    <row r="2" spans="1:17" x14ac:dyDescent="0.3">
      <c r="A2" t="s">
        <v>0</v>
      </c>
      <c r="F2">
        <v>2</v>
      </c>
      <c r="G2">
        <f>+'חישוב מס הכנסה'!E11</f>
        <v>165600</v>
      </c>
      <c r="L2">
        <f>8380*0.14</f>
        <v>1173.2</v>
      </c>
    </row>
    <row r="3" spans="1:17" x14ac:dyDescent="0.3">
      <c r="B3" t="s">
        <v>4</v>
      </c>
      <c r="C3" t="s">
        <v>5</v>
      </c>
      <c r="F3">
        <v>3</v>
      </c>
      <c r="G3">
        <f>+'חישוב מס הכנסה'!E14</f>
        <v>183432</v>
      </c>
    </row>
    <row r="4" spans="1:17" x14ac:dyDescent="0.3">
      <c r="B4">
        <v>0</v>
      </c>
      <c r="C4">
        <v>0</v>
      </c>
      <c r="F4">
        <v>4</v>
      </c>
      <c r="G4">
        <f>+'חישוב מס הכנסה'!E17</f>
        <v>178104</v>
      </c>
      <c r="L4">
        <f>13200-L2</f>
        <v>12026.8</v>
      </c>
      <c r="M4">
        <f>+L4*12</f>
        <v>144321.59999999998</v>
      </c>
    </row>
    <row r="5" spans="1:17" x14ac:dyDescent="0.3">
      <c r="A5" t="s">
        <v>6</v>
      </c>
      <c r="B5">
        <v>6220</v>
      </c>
      <c r="C5">
        <f>+B5*12</f>
        <v>74640</v>
      </c>
      <c r="D5" s="1">
        <v>0.1</v>
      </c>
      <c r="F5">
        <v>5</v>
      </c>
      <c r="G5">
        <f>+'חישוב מס הכנסה'!E20</f>
        <v>500000</v>
      </c>
      <c r="M5">
        <v>21057</v>
      </c>
      <c r="P5">
        <f>+C5*D5</f>
        <v>7464</v>
      </c>
      <c r="Q5">
        <f>+P5</f>
        <v>7464</v>
      </c>
    </row>
    <row r="6" spans="1:17" x14ac:dyDescent="0.3">
      <c r="B6">
        <v>8920</v>
      </c>
      <c r="C6">
        <f t="shared" ref="C6:C11" si="0">+B6*12</f>
        <v>107040</v>
      </c>
      <c r="D6" s="1">
        <v>0.14000000000000001</v>
      </c>
      <c r="F6">
        <v>6</v>
      </c>
      <c r="G6">
        <v>900000</v>
      </c>
      <c r="M6">
        <f>SUM(M4:M5)</f>
        <v>165378.59999999998</v>
      </c>
      <c r="P6">
        <f>+(C6-C5)*D6</f>
        <v>4536</v>
      </c>
      <c r="Q6">
        <f>+P6+P5</f>
        <v>12000</v>
      </c>
    </row>
    <row r="7" spans="1:17" x14ac:dyDescent="0.3">
      <c r="B7">
        <v>14320</v>
      </c>
      <c r="C7">
        <f t="shared" si="0"/>
        <v>171840</v>
      </c>
      <c r="D7" s="1">
        <v>0.2</v>
      </c>
      <c r="F7">
        <v>7</v>
      </c>
      <c r="G7">
        <v>900000</v>
      </c>
      <c r="J7">
        <f>12400*12</f>
        <v>148800</v>
      </c>
      <c r="P7">
        <f t="shared" ref="P7:P10" si="1">+(C7-C6)*D7</f>
        <v>12960</v>
      </c>
      <c r="Q7">
        <f>+P7+Q6</f>
        <v>24960</v>
      </c>
    </row>
    <row r="8" spans="1:17" x14ac:dyDescent="0.3">
      <c r="B8">
        <v>19900</v>
      </c>
      <c r="C8">
        <f t="shared" si="0"/>
        <v>238800</v>
      </c>
      <c r="D8" s="1">
        <v>0.31</v>
      </c>
      <c r="F8">
        <v>8</v>
      </c>
      <c r="G8">
        <v>900000</v>
      </c>
      <c r="L8">
        <v>0.21</v>
      </c>
      <c r="M8">
        <f>+C7-M4</f>
        <v>27518.400000000023</v>
      </c>
      <c r="N8">
        <f>+M8*L8</f>
        <v>5778.864000000005</v>
      </c>
      <c r="P8">
        <f>+(C8-C7)*D8</f>
        <v>20757.599999999999</v>
      </c>
      <c r="Q8">
        <f t="shared" ref="Q8:Q10" si="2">+P8+Q7</f>
        <v>45717.599999999999</v>
      </c>
    </row>
    <row r="9" spans="1:17" x14ac:dyDescent="0.3">
      <c r="B9">
        <v>41410</v>
      </c>
      <c r="C9">
        <f t="shared" si="0"/>
        <v>496920</v>
      </c>
      <c r="D9" s="1">
        <v>0.35</v>
      </c>
      <c r="F9">
        <v>9</v>
      </c>
      <c r="G9">
        <v>900000</v>
      </c>
      <c r="L9">
        <v>0.31</v>
      </c>
      <c r="M9">
        <f>+M6-C7</f>
        <v>-6461.4000000000233</v>
      </c>
      <c r="N9">
        <f>+M9*L9</f>
        <v>-2003.0340000000072</v>
      </c>
      <c r="P9">
        <f t="shared" si="1"/>
        <v>90342</v>
      </c>
      <c r="Q9">
        <f t="shared" si="2"/>
        <v>136059.6</v>
      </c>
    </row>
    <row r="10" spans="1:17" x14ac:dyDescent="0.3">
      <c r="B10">
        <v>53333</v>
      </c>
      <c r="C10">
        <f t="shared" si="0"/>
        <v>639996</v>
      </c>
      <c r="D10" s="1">
        <v>0.47</v>
      </c>
      <c r="F10">
        <v>10</v>
      </c>
      <c r="G10">
        <v>900000</v>
      </c>
      <c r="N10">
        <f>SUM(N8:N9)</f>
        <v>3775.8299999999981</v>
      </c>
      <c r="P10">
        <f t="shared" si="1"/>
        <v>67245.72</v>
      </c>
      <c r="Q10">
        <f t="shared" si="2"/>
        <v>203305.32</v>
      </c>
    </row>
    <row r="11" spans="1:17" x14ac:dyDescent="0.3">
      <c r="A11" t="s">
        <v>7</v>
      </c>
      <c r="B11">
        <v>53333</v>
      </c>
      <c r="C11">
        <f t="shared" si="0"/>
        <v>639996</v>
      </c>
      <c r="D11" s="1">
        <v>0.5</v>
      </c>
      <c r="F11">
        <v>11</v>
      </c>
      <c r="G11">
        <v>900000</v>
      </c>
      <c r="N11">
        <f>+N10/M5</f>
        <v>0.17931471719618169</v>
      </c>
    </row>
    <row r="12" spans="1:17" x14ac:dyDescent="0.3">
      <c r="F12">
        <v>12</v>
      </c>
      <c r="G12">
        <v>900000</v>
      </c>
    </row>
    <row r="13" spans="1:17" x14ac:dyDescent="0.3">
      <c r="B13" t="s">
        <v>1</v>
      </c>
      <c r="C13">
        <v>216</v>
      </c>
      <c r="F13">
        <v>13</v>
      </c>
      <c r="G13">
        <v>900000</v>
      </c>
      <c r="P13">
        <f>+G1-C8</f>
        <v>-141168</v>
      </c>
      <c r="Q13">
        <f>+P13*D9</f>
        <v>-49408.799999999996</v>
      </c>
    </row>
    <row r="14" spans="1:17" x14ac:dyDescent="0.3">
      <c r="B14" t="s">
        <v>2</v>
      </c>
      <c r="C14">
        <v>2.75</v>
      </c>
      <c r="D14">
        <f>+C13*C14*12</f>
        <v>7128</v>
      </c>
      <c r="F14">
        <v>14</v>
      </c>
      <c r="G14" t="e">
        <f>+#REF!</f>
        <v>#REF!</v>
      </c>
      <c r="Q14">
        <f>+Q13+Q8</f>
        <v>-3691.1999999999971</v>
      </c>
    </row>
    <row r="15" spans="1:17" x14ac:dyDescent="0.3">
      <c r="B15" t="s">
        <v>3</v>
      </c>
      <c r="C15">
        <v>2.25</v>
      </c>
      <c r="D15">
        <f>+C13*C15*12</f>
        <v>5832</v>
      </c>
      <c r="E15">
        <f>IF(D15&lt;=C5,D15*D5,IF(D15&lt;=C6,(D15-C5)*D6+C5*D5,IF(D15&lt;=C7,(D15-C6)*D7+(C6-C5)*D6+C5*D5,IF(D15&lt;=C8,(D15-C7)*D8+(C7-C6)*D7+(C6-C5)*D6+C5*D5,IF(D15&lt;=C9,(D15-C8)*D9+(C8-C7)*D8+(C7-C6)*D7+(C6-C5)*D6+C5*D5,IF(D15&lt;=C10,(D15-C9)*D10+(C9-C8)*D9+(C8-C7)*D8+(C7-C6)*D7+(C6-C5)*D6+C5*D5,(D15-C10)*D11+(C10-C9)*D10+(C9-C8)*D9+(C8-C7)*D8+(C7-C6)*D7+(C6-C5)*D6+C5*D5))))))</f>
        <v>583.20000000000005</v>
      </c>
      <c r="F15" s="14">
        <v>15</v>
      </c>
      <c r="G15" s="15" t="e">
        <f>+#REF!*12</f>
        <v>#REF!</v>
      </c>
    </row>
    <row r="16" spans="1:17" x14ac:dyDescent="0.3">
      <c r="F16" s="17">
        <v>16</v>
      </c>
      <c r="G16" s="18" t="e">
        <f>+#REF!*12</f>
        <v>#REF!</v>
      </c>
    </row>
    <row r="17" spans="1:16" x14ac:dyDescent="0.3">
      <c r="F17" s="17">
        <v>17</v>
      </c>
      <c r="G17" s="18" t="e">
        <f>+#REF!*12</f>
        <v>#REF!</v>
      </c>
      <c r="I17" t="s">
        <v>5</v>
      </c>
      <c r="J17" t="s">
        <v>4</v>
      </c>
    </row>
    <row r="18" spans="1:16" x14ac:dyDescent="0.3">
      <c r="A18" t="s">
        <v>8</v>
      </c>
      <c r="B18" s="1">
        <v>0.01</v>
      </c>
      <c r="F18" s="17">
        <v>18</v>
      </c>
      <c r="G18" s="18"/>
      <c r="H18" t="s">
        <v>17</v>
      </c>
      <c r="I18">
        <f>+'חישוב מס הכנסה'!C6*'נתונים כללים'!C13*12</f>
        <v>7128</v>
      </c>
      <c r="J18" t="s">
        <v>72</v>
      </c>
    </row>
    <row r="19" spans="1:16" x14ac:dyDescent="0.3">
      <c r="F19" s="17">
        <v>19</v>
      </c>
      <c r="G19" s="18"/>
      <c r="H19">
        <f>IF(G1&lt;=$C$5,G1*$D$5,IF(G1&lt;=$C$6,(G1-$C$5)*$D$6+$C$5*$D$5,IF(G1&lt;=$C$7,(G1-$C$6)*$D$7+($C$6-$C$5)*$D$6+$C$5*$D$5,IF(G1&lt;=$C$8,(G1-$C$7)*$D$8+($C$7-$C$6)*$D$7+($C$6-$C$5)*$D$6+$C$5*$D$5,IF(G1&lt;=$C$9,(G1-$C$8)*$D$9+($C$8-$C$7)*$D$8+($C$7-$C$6)*$D$7+($C$6-$C$5)*$D$6+$C$5*$D$5,IF(G1&lt;=$C$10,(G1-$C$9)*$D$10+($C$9-$C$8)*$D$9+($C$8-$C$7)*$D$8+($C$7-$C$6)*$D$7+($C$6-$C$5)*$D$6+$C$5*$D$5,(G1-$C$10)*$D$11+($C$10-$C$9)*$D$10+($C$9-$C$8)*$D$9+($C$8-$C$7)*$D$8+($C$7-$C$6)*$D$7+($C$6-$C$5)*$D$6+$C$5*$D$5))))))</f>
        <v>10682.880000000001</v>
      </c>
      <c r="I19">
        <f>+H19-$I$18</f>
        <v>3554.880000000001</v>
      </c>
      <c r="J19">
        <f>IF(I19&gt;=0,I19,0)</f>
        <v>3554.880000000001</v>
      </c>
    </row>
    <row r="20" spans="1:16" x14ac:dyDescent="0.3">
      <c r="F20" s="20">
        <v>20</v>
      </c>
      <c r="G20" s="21"/>
      <c r="H20">
        <f t="shared" ref="H20:H38" si="3">IF(G2&lt;=$C$5,G2*$D$5,IF(G2&lt;=$C$6,(G2-$C$5)*$D$6+$C$5*$D$5,IF(G2&lt;=$C$7,(G2-$C$6)*$D$7+($C$6-$C$5)*$D$6+$C$5*$D$5,IF(G2&lt;=$C$8,(G2-$C$7)*$D$8+($C$7-$C$6)*$D$7+($C$6-$C$5)*$D$6+$C$5*$D$5,IF(G2&lt;=$C$9,(G2-$C$8)*$D$9+($C$8-$C$7)*$D$8+($C$7-$C$6)*$D$7+($C$6-$C$5)*$D$6+$C$5*$D$5,IF(G2&lt;=$C$10,(G2-$C$9)*$D$10+($C$9-$C$8)*$D$9+($C$8-$C$7)*$D$8+($C$7-$C$6)*$D$7+($C$6-$C$5)*$D$6+$C$5*$D$5,(G2-$C$10)*$D$11+($C$10-$C$9)*$D$10+($C$9-$C$8)*$D$9+($C$8-$C$7)*$D$8+($C$7-$C$6)*$D$7+($C$6-$C$5)*$D$6+$C$5*$D$5))))))</f>
        <v>23712</v>
      </c>
      <c r="I20">
        <f t="shared" ref="I20:I24" si="4">+H20-$I$18</f>
        <v>16584</v>
      </c>
      <c r="J20">
        <f t="shared" ref="J20:J24" si="5">IF(I20&gt;=0,I20,0)</f>
        <v>16584</v>
      </c>
    </row>
    <row r="21" spans="1:16" x14ac:dyDescent="0.3">
      <c r="A21" t="s">
        <v>10</v>
      </c>
      <c r="B21" t="s">
        <v>11</v>
      </c>
      <c r="C21" t="s">
        <v>12</v>
      </c>
      <c r="D21" t="s">
        <v>13</v>
      </c>
      <c r="H21">
        <f t="shared" si="3"/>
        <v>28553.52</v>
      </c>
      <c r="I21">
        <f t="shared" si="4"/>
        <v>21425.52</v>
      </c>
      <c r="J21">
        <f t="shared" si="5"/>
        <v>21425.52</v>
      </c>
      <c r="M21">
        <v>1</v>
      </c>
      <c r="N21" s="2">
        <v>20089</v>
      </c>
      <c r="O21">
        <v>62</v>
      </c>
    </row>
    <row r="22" spans="1:16" x14ac:dyDescent="0.3">
      <c r="H22">
        <f t="shared" si="3"/>
        <v>26901.84</v>
      </c>
      <c r="I22">
        <f t="shared" si="4"/>
        <v>19773.84</v>
      </c>
      <c r="J22">
        <f t="shared" si="5"/>
        <v>19773.84</v>
      </c>
      <c r="M22">
        <v>2</v>
      </c>
      <c r="N22" s="2">
        <v>20332</v>
      </c>
      <c r="O22">
        <v>62.332999999999998</v>
      </c>
    </row>
    <row r="23" spans="1:16" x14ac:dyDescent="0.3">
      <c r="A23">
        <v>2001</v>
      </c>
      <c r="H23">
        <f t="shared" si="3"/>
        <v>137507.20000000001</v>
      </c>
      <c r="I23">
        <f t="shared" si="4"/>
        <v>130379.20000000001</v>
      </c>
      <c r="J23">
        <f t="shared" si="5"/>
        <v>130379.20000000001</v>
      </c>
      <c r="M23">
        <v>3</v>
      </c>
      <c r="N23" s="2">
        <v>20575</v>
      </c>
      <c r="O23">
        <v>62.665999999999997</v>
      </c>
    </row>
    <row r="24" spans="1:16" x14ac:dyDescent="0.3">
      <c r="A24">
        <v>2002</v>
      </c>
      <c r="H24">
        <f t="shared" si="3"/>
        <v>333307.31999999995</v>
      </c>
      <c r="I24">
        <f t="shared" si="4"/>
        <v>326179.31999999995</v>
      </c>
      <c r="J24">
        <f t="shared" si="5"/>
        <v>326179.31999999995</v>
      </c>
      <c r="M24">
        <v>4</v>
      </c>
      <c r="N24" s="2">
        <v>20820</v>
      </c>
      <c r="O24">
        <v>63</v>
      </c>
    </row>
    <row r="25" spans="1:16" x14ac:dyDescent="0.3">
      <c r="A25">
        <v>2003</v>
      </c>
      <c r="B25">
        <v>10090</v>
      </c>
      <c r="H25">
        <f t="shared" si="3"/>
        <v>333307.31999999995</v>
      </c>
      <c r="M25">
        <v>5</v>
      </c>
      <c r="N25" s="2">
        <v>21063</v>
      </c>
      <c r="O25">
        <v>63.332999999999998</v>
      </c>
    </row>
    <row r="26" spans="1:16" x14ac:dyDescent="0.3">
      <c r="A26">
        <v>2004</v>
      </c>
      <c r="B26">
        <v>9890</v>
      </c>
      <c r="H26">
        <f t="shared" si="3"/>
        <v>333307.31999999995</v>
      </c>
      <c r="M26">
        <v>6</v>
      </c>
      <c r="N26" s="2">
        <v>21305</v>
      </c>
      <c r="O26">
        <v>63.665999999999997</v>
      </c>
    </row>
    <row r="27" spans="1:16" x14ac:dyDescent="0.3">
      <c r="A27">
        <v>2005</v>
      </c>
      <c r="B27">
        <v>9980</v>
      </c>
      <c r="H27">
        <f t="shared" si="3"/>
        <v>333307.31999999995</v>
      </c>
      <c r="M27">
        <v>7</v>
      </c>
      <c r="N27" s="2">
        <v>21306</v>
      </c>
      <c r="O27">
        <v>64</v>
      </c>
    </row>
    <row r="28" spans="1:16" x14ac:dyDescent="0.3">
      <c r="A28">
        <v>2006</v>
      </c>
      <c r="B28">
        <v>10250</v>
      </c>
      <c r="H28">
        <f t="shared" si="3"/>
        <v>333307.31999999995</v>
      </c>
    </row>
    <row r="29" spans="1:16" x14ac:dyDescent="0.3">
      <c r="A29">
        <v>2007</v>
      </c>
      <c r="B29">
        <v>10220</v>
      </c>
      <c r="H29">
        <f t="shared" si="3"/>
        <v>333307.31999999995</v>
      </c>
    </row>
    <row r="30" spans="1:16" x14ac:dyDescent="0.3">
      <c r="A30">
        <v>2008</v>
      </c>
      <c r="B30">
        <v>10500</v>
      </c>
      <c r="H30">
        <f t="shared" si="3"/>
        <v>333307.31999999995</v>
      </c>
      <c r="L30" t="s">
        <v>16</v>
      </c>
      <c r="M30" s="2" t="e">
        <f>+#REF!</f>
        <v>#REF!</v>
      </c>
      <c r="O30" t="e">
        <f>IF(M30&lt;=N21,O21,IF(M30&lt;=N22,O22,IF(M30&lt;=N23,O23,IF(M30&lt;=N24,O24,IF(M30&lt;=N25,O25,IF(M30&lt;=N26,O26,O27))))))</f>
        <v>#REF!</v>
      </c>
      <c r="P30" t="s">
        <v>15</v>
      </c>
    </row>
    <row r="31" spans="1:16" x14ac:dyDescent="0.3">
      <c r="A31">
        <v>2009</v>
      </c>
      <c r="B31">
        <v>10980</v>
      </c>
      <c r="H31">
        <f t="shared" si="3"/>
        <v>333307.31999999995</v>
      </c>
    </row>
    <row r="32" spans="1:16" x14ac:dyDescent="0.3">
      <c r="A32">
        <v>2010</v>
      </c>
      <c r="B32">
        <v>11390</v>
      </c>
      <c r="H32" t="e">
        <f t="shared" si="3"/>
        <v>#REF!</v>
      </c>
    </row>
    <row r="33" spans="1:17" x14ac:dyDescent="0.3">
      <c r="A33">
        <v>2011</v>
      </c>
      <c r="B33">
        <v>11650</v>
      </c>
      <c r="H33" t="e">
        <f t="shared" si="3"/>
        <v>#REF!</v>
      </c>
      <c r="I33" s="16" t="e">
        <f t="shared" ref="I33:I38" si="6">+H33-$I$18</f>
        <v>#REF!</v>
      </c>
      <c r="J33" t="e">
        <f>H33/12</f>
        <v>#REF!</v>
      </c>
    </row>
    <row r="34" spans="1:17" x14ac:dyDescent="0.3">
      <c r="A34">
        <v>2012</v>
      </c>
      <c r="B34">
        <v>11950</v>
      </c>
      <c r="H34" t="e">
        <f t="shared" si="3"/>
        <v>#REF!</v>
      </c>
      <c r="I34" s="19" t="e">
        <f t="shared" si="6"/>
        <v>#REF!</v>
      </c>
      <c r="J34">
        <f>C13*C14</f>
        <v>594</v>
      </c>
    </row>
    <row r="35" spans="1:17" x14ac:dyDescent="0.3">
      <c r="A35">
        <v>2013</v>
      </c>
      <c r="B35">
        <v>12120</v>
      </c>
      <c r="H35" t="e">
        <f t="shared" si="3"/>
        <v>#REF!</v>
      </c>
      <c r="I35" s="19" t="e">
        <f t="shared" si="6"/>
        <v>#REF!</v>
      </c>
      <c r="J35" t="e">
        <f>J33-J34</f>
        <v>#REF!</v>
      </c>
    </row>
    <row r="36" spans="1:17" x14ac:dyDescent="0.3">
      <c r="A36">
        <v>2014</v>
      </c>
      <c r="B36">
        <v>12360</v>
      </c>
      <c r="C36" s="7">
        <v>0.435</v>
      </c>
      <c r="D36">
        <v>8470</v>
      </c>
      <c r="H36">
        <f t="shared" si="3"/>
        <v>0</v>
      </c>
      <c r="I36" s="19">
        <f t="shared" si="6"/>
        <v>-7128</v>
      </c>
    </row>
    <row r="37" spans="1:17" x14ac:dyDescent="0.3">
      <c r="A37">
        <v>2015</v>
      </c>
      <c r="B37">
        <v>12340</v>
      </c>
      <c r="C37" s="7">
        <v>0.435</v>
      </c>
      <c r="D37">
        <v>8460</v>
      </c>
      <c r="H37">
        <f t="shared" si="3"/>
        <v>0</v>
      </c>
      <c r="I37" s="19">
        <f t="shared" si="6"/>
        <v>-7128</v>
      </c>
    </row>
    <row r="38" spans="1:17" x14ac:dyDescent="0.3">
      <c r="A38">
        <v>2016</v>
      </c>
      <c r="B38">
        <v>12230</v>
      </c>
      <c r="C38" s="6">
        <v>0.49</v>
      </c>
      <c r="D38">
        <v>8380</v>
      </c>
      <c r="H38">
        <f t="shared" si="3"/>
        <v>0</v>
      </c>
      <c r="I38" s="22">
        <f t="shared" si="6"/>
        <v>-7128</v>
      </c>
    </row>
    <row r="39" spans="1:17" x14ac:dyDescent="0.3">
      <c r="A39">
        <v>2017</v>
      </c>
      <c r="B39">
        <v>12230</v>
      </c>
      <c r="C39" s="6">
        <v>0.49</v>
      </c>
      <c r="D39">
        <v>8380</v>
      </c>
      <c r="J39">
        <v>7270</v>
      </c>
    </row>
    <row r="40" spans="1:17" x14ac:dyDescent="0.3">
      <c r="J40" t="e">
        <f>+H33-J39</f>
        <v>#REF!</v>
      </c>
      <c r="Q40">
        <v>4757</v>
      </c>
    </row>
    <row r="41" spans="1:17" x14ac:dyDescent="0.3">
      <c r="J41" t="e">
        <f>+J40*4</f>
        <v>#REF!</v>
      </c>
      <c r="N41" s="12">
        <f>O41-Q41</f>
        <v>7131.1101483606035</v>
      </c>
      <c r="O41">
        <f>Q40*60</f>
        <v>285420</v>
      </c>
      <c r="Q41" s="12">
        <f>PV(0.01/12,60,-Q40)</f>
        <v>278288.8898516394</v>
      </c>
    </row>
    <row r="43" spans="1:17" x14ac:dyDescent="0.3">
      <c r="B43" s="4">
        <v>36526</v>
      </c>
      <c r="C43" s="5">
        <v>9322</v>
      </c>
    </row>
    <row r="44" spans="1:17" x14ac:dyDescent="0.3">
      <c r="B44" s="4">
        <v>36557</v>
      </c>
      <c r="C44" s="5">
        <v>9322</v>
      </c>
    </row>
    <row r="45" spans="1:17" x14ac:dyDescent="0.3">
      <c r="B45" s="4">
        <v>36586</v>
      </c>
      <c r="C45" s="5">
        <v>9278</v>
      </c>
    </row>
    <row r="46" spans="1:17" x14ac:dyDescent="0.3">
      <c r="B46" s="4">
        <v>36617</v>
      </c>
      <c r="C46" s="5">
        <v>9234</v>
      </c>
    </row>
    <row r="47" spans="1:17" x14ac:dyDescent="0.3">
      <c r="B47" s="4">
        <v>36647</v>
      </c>
      <c r="C47" s="5">
        <v>9208</v>
      </c>
    </row>
    <row r="48" spans="1:17" x14ac:dyDescent="0.3">
      <c r="B48" s="4">
        <v>36678</v>
      </c>
      <c r="C48" s="5">
        <v>9252</v>
      </c>
    </row>
    <row r="49" spans="2:3" x14ac:dyDescent="0.3">
      <c r="B49" s="4">
        <v>36708</v>
      </c>
      <c r="C49" s="5">
        <v>9330</v>
      </c>
    </row>
    <row r="50" spans="2:3" x14ac:dyDescent="0.3">
      <c r="B50" s="4">
        <v>36739</v>
      </c>
      <c r="C50" s="5">
        <v>9357</v>
      </c>
    </row>
    <row r="51" spans="2:3" x14ac:dyDescent="0.3">
      <c r="B51" s="4">
        <v>36770</v>
      </c>
      <c r="C51" s="5">
        <v>9383</v>
      </c>
    </row>
    <row r="52" spans="2:3" x14ac:dyDescent="0.3">
      <c r="B52" s="4">
        <v>36800</v>
      </c>
      <c r="C52" s="5">
        <v>9330</v>
      </c>
    </row>
    <row r="53" spans="2:3" x14ac:dyDescent="0.3">
      <c r="B53" s="4">
        <v>36831</v>
      </c>
      <c r="C53" s="5">
        <v>9278</v>
      </c>
    </row>
    <row r="54" spans="2:3" x14ac:dyDescent="0.3">
      <c r="B54" s="4">
        <v>36861</v>
      </c>
      <c r="C54" s="5">
        <v>9330</v>
      </c>
    </row>
    <row r="55" spans="2:3" x14ac:dyDescent="0.3">
      <c r="B55" s="4">
        <v>36892</v>
      </c>
      <c r="C55" s="5">
        <v>9330</v>
      </c>
    </row>
    <row r="56" spans="2:3" x14ac:dyDescent="0.3">
      <c r="B56" s="4">
        <v>36923</v>
      </c>
      <c r="C56" s="5">
        <v>9322</v>
      </c>
    </row>
    <row r="57" spans="2:3" x14ac:dyDescent="0.3">
      <c r="B57" s="4">
        <v>36951</v>
      </c>
      <c r="C57" s="5">
        <v>9267</v>
      </c>
    </row>
    <row r="58" spans="2:3" x14ac:dyDescent="0.3">
      <c r="B58" s="4">
        <v>36982</v>
      </c>
      <c r="C58" s="5">
        <v>9258</v>
      </c>
    </row>
    <row r="59" spans="2:3" x14ac:dyDescent="0.3">
      <c r="B59" s="4">
        <v>37012</v>
      </c>
      <c r="C59" s="5">
        <v>9276</v>
      </c>
    </row>
    <row r="60" spans="2:3" x14ac:dyDescent="0.3">
      <c r="B60" s="4">
        <v>37043</v>
      </c>
      <c r="C60" s="5">
        <v>9360</v>
      </c>
    </row>
    <row r="61" spans="2:3" x14ac:dyDescent="0.3">
      <c r="B61" s="4">
        <v>37073</v>
      </c>
      <c r="C61" s="5">
        <v>9397</v>
      </c>
    </row>
    <row r="62" spans="2:3" x14ac:dyDescent="0.3">
      <c r="B62" s="4">
        <v>37104</v>
      </c>
      <c r="C62" s="5">
        <v>9425</v>
      </c>
    </row>
    <row r="63" spans="2:3" x14ac:dyDescent="0.3">
      <c r="B63" s="4">
        <v>37135</v>
      </c>
      <c r="C63" s="5">
        <v>9462</v>
      </c>
    </row>
    <row r="64" spans="2:3" x14ac:dyDescent="0.3">
      <c r="B64" s="4">
        <v>37165</v>
      </c>
      <c r="C64" s="5">
        <v>9490</v>
      </c>
    </row>
    <row r="65" spans="2:3" x14ac:dyDescent="0.3">
      <c r="B65" s="4">
        <v>37196</v>
      </c>
      <c r="C65" s="5">
        <v>9509</v>
      </c>
    </row>
    <row r="66" spans="2:3" x14ac:dyDescent="0.3">
      <c r="B66" s="4">
        <v>37226</v>
      </c>
      <c r="C66" s="5">
        <v>9518</v>
      </c>
    </row>
    <row r="67" spans="2:3" x14ac:dyDescent="0.3">
      <c r="B67" s="4">
        <v>37257</v>
      </c>
      <c r="C67" s="5">
        <v>9462</v>
      </c>
    </row>
    <row r="68" spans="2:3" x14ac:dyDescent="0.3">
      <c r="B68" s="4">
        <v>37288</v>
      </c>
      <c r="C68" s="5">
        <v>9453</v>
      </c>
    </row>
    <row r="69" spans="2:3" x14ac:dyDescent="0.3">
      <c r="B69" s="4">
        <v>37316</v>
      </c>
      <c r="C69" s="5">
        <v>9555</v>
      </c>
    </row>
    <row r="70" spans="2:3" x14ac:dyDescent="0.3">
      <c r="B70" s="4">
        <v>37347</v>
      </c>
      <c r="C70" s="5">
        <v>9630</v>
      </c>
    </row>
    <row r="71" spans="2:3" x14ac:dyDescent="0.3">
      <c r="B71" s="4">
        <v>37377</v>
      </c>
      <c r="C71" s="5">
        <v>9676</v>
      </c>
    </row>
    <row r="72" spans="2:3" x14ac:dyDescent="0.3">
      <c r="B72" s="4">
        <v>37408</v>
      </c>
      <c r="C72" s="5">
        <v>9825</v>
      </c>
    </row>
    <row r="73" spans="2:3" x14ac:dyDescent="0.3">
      <c r="B73" s="4">
        <v>37438</v>
      </c>
      <c r="C73" s="5">
        <v>9918</v>
      </c>
    </row>
    <row r="74" spans="2:3" x14ac:dyDescent="0.3">
      <c r="B74" s="4">
        <v>37469</v>
      </c>
      <c r="C74" s="5">
        <v>10048</v>
      </c>
    </row>
    <row r="75" spans="2:3" x14ac:dyDescent="0.3">
      <c r="B75" s="4">
        <v>37500</v>
      </c>
      <c r="C75" s="5">
        <v>10114</v>
      </c>
    </row>
    <row r="76" spans="2:3" x14ac:dyDescent="0.3">
      <c r="B76" s="4">
        <v>37530</v>
      </c>
      <c r="C76" s="5">
        <v>10076</v>
      </c>
    </row>
    <row r="77" spans="2:3" x14ac:dyDescent="0.3">
      <c r="B77" s="4">
        <v>37561</v>
      </c>
      <c r="C77" s="5">
        <v>10114</v>
      </c>
    </row>
    <row r="78" spans="2:3" x14ac:dyDescent="0.3">
      <c r="B78" s="4">
        <v>37591</v>
      </c>
      <c r="C78" s="5">
        <v>10179</v>
      </c>
    </row>
    <row r="79" spans="2:3" x14ac:dyDescent="0.3">
      <c r="B79" s="4">
        <v>37622</v>
      </c>
      <c r="C79" s="5">
        <v>10095</v>
      </c>
    </row>
    <row r="80" spans="2:3" x14ac:dyDescent="0.3">
      <c r="B80" s="4">
        <v>37653</v>
      </c>
      <c r="C80" s="5">
        <v>10067</v>
      </c>
    </row>
    <row r="81" spans="2:3" x14ac:dyDescent="0.3">
      <c r="B81" s="4">
        <v>37681</v>
      </c>
      <c r="C81" s="5">
        <v>10086</v>
      </c>
    </row>
    <row r="82" spans="2:3" x14ac:dyDescent="0.3">
      <c r="B82" s="4">
        <v>37712</v>
      </c>
      <c r="C82" s="5">
        <v>10126</v>
      </c>
    </row>
    <row r="83" spans="2:3" x14ac:dyDescent="0.3">
      <c r="B83" s="4">
        <v>37742</v>
      </c>
      <c r="C83" s="5">
        <v>10145</v>
      </c>
    </row>
    <row r="84" spans="2:3" x14ac:dyDescent="0.3">
      <c r="B84" s="4">
        <v>37773</v>
      </c>
      <c r="C84" s="5">
        <v>10126</v>
      </c>
    </row>
    <row r="85" spans="2:3" x14ac:dyDescent="0.3">
      <c r="B85" s="4">
        <v>37803</v>
      </c>
      <c r="C85" s="5">
        <v>10076</v>
      </c>
    </row>
    <row r="86" spans="2:3" x14ac:dyDescent="0.3">
      <c r="B86" s="4">
        <v>37834</v>
      </c>
      <c r="C86" s="5">
        <v>10016</v>
      </c>
    </row>
    <row r="87" spans="2:3" x14ac:dyDescent="0.3">
      <c r="B87" s="4">
        <v>37865</v>
      </c>
      <c r="C87" s="5">
        <v>9947</v>
      </c>
    </row>
    <row r="88" spans="2:3" x14ac:dyDescent="0.3">
      <c r="B88" s="4">
        <v>37895</v>
      </c>
      <c r="C88" s="5">
        <v>9967</v>
      </c>
    </row>
    <row r="89" spans="2:3" x14ac:dyDescent="0.3">
      <c r="B89" s="4">
        <v>37926</v>
      </c>
      <c r="C89" s="5">
        <v>9917</v>
      </c>
    </row>
    <row r="90" spans="2:3" x14ac:dyDescent="0.3">
      <c r="B90" s="4">
        <v>37956</v>
      </c>
      <c r="C90" s="5">
        <v>9917</v>
      </c>
    </row>
    <row r="91" spans="2:3" x14ac:dyDescent="0.3">
      <c r="B91" s="4">
        <v>37987</v>
      </c>
      <c r="C91" s="5">
        <v>9897</v>
      </c>
    </row>
    <row r="92" spans="2:3" x14ac:dyDescent="0.3">
      <c r="B92" s="4">
        <v>38018</v>
      </c>
      <c r="C92" s="5">
        <v>9877</v>
      </c>
    </row>
    <row r="93" spans="2:3" x14ac:dyDescent="0.3">
      <c r="B93" s="4">
        <v>38047</v>
      </c>
      <c r="C93" s="5">
        <v>9857</v>
      </c>
    </row>
    <row r="94" spans="2:3" x14ac:dyDescent="0.3">
      <c r="B94" s="4">
        <v>38078</v>
      </c>
      <c r="C94" s="5">
        <v>9877</v>
      </c>
    </row>
    <row r="95" spans="2:3" x14ac:dyDescent="0.3">
      <c r="B95" s="4">
        <v>38108</v>
      </c>
      <c r="C95" s="5">
        <v>9867</v>
      </c>
    </row>
    <row r="96" spans="2:3" x14ac:dyDescent="0.3">
      <c r="B96" s="4">
        <v>38139</v>
      </c>
      <c r="C96" s="5">
        <v>9977</v>
      </c>
    </row>
    <row r="97" spans="2:3" x14ac:dyDescent="0.3">
      <c r="B97" s="4">
        <v>38169</v>
      </c>
      <c r="C97" s="5">
        <v>10016</v>
      </c>
    </row>
    <row r="98" spans="2:3" x14ac:dyDescent="0.3">
      <c r="B98" s="4">
        <v>38200</v>
      </c>
      <c r="C98" s="5">
        <v>10016</v>
      </c>
    </row>
    <row r="99" spans="2:3" x14ac:dyDescent="0.3">
      <c r="B99" s="4">
        <v>38231</v>
      </c>
      <c r="C99" s="5">
        <v>9996</v>
      </c>
    </row>
    <row r="100" spans="2:3" x14ac:dyDescent="0.3">
      <c r="B100" s="4">
        <v>38261</v>
      </c>
      <c r="C100" s="5">
        <v>10016</v>
      </c>
    </row>
    <row r="101" spans="2:3" x14ac:dyDescent="0.3">
      <c r="B101" s="4">
        <v>38292</v>
      </c>
      <c r="C101" s="5">
        <v>9996</v>
      </c>
    </row>
    <row r="102" spans="2:3" x14ac:dyDescent="0.3">
      <c r="B102" s="4">
        <v>38322</v>
      </c>
      <c r="C102" s="5">
        <v>9996</v>
      </c>
    </row>
    <row r="103" spans="2:3" x14ac:dyDescent="0.3">
      <c r="B103" s="4">
        <v>38353</v>
      </c>
      <c r="C103" s="5">
        <v>9986</v>
      </c>
    </row>
    <row r="104" spans="2:3" x14ac:dyDescent="0.3">
      <c r="B104" s="4">
        <v>38384</v>
      </c>
      <c r="C104" s="5">
        <v>9996</v>
      </c>
    </row>
    <row r="105" spans="2:3" x14ac:dyDescent="0.3">
      <c r="B105" s="4">
        <v>38412</v>
      </c>
      <c r="C105" s="5">
        <v>9937</v>
      </c>
    </row>
    <row r="106" spans="2:3" x14ac:dyDescent="0.3">
      <c r="B106" s="4">
        <v>38443</v>
      </c>
      <c r="C106" s="5">
        <v>9957</v>
      </c>
    </row>
    <row r="107" spans="2:3" x14ac:dyDescent="0.3">
      <c r="B107" s="4">
        <v>38473</v>
      </c>
      <c r="C107" s="5">
        <v>9937</v>
      </c>
    </row>
    <row r="108" spans="2:3" x14ac:dyDescent="0.3">
      <c r="B108" s="4">
        <v>38504</v>
      </c>
      <c r="C108" s="5">
        <v>10006</v>
      </c>
    </row>
    <row r="109" spans="2:3" x14ac:dyDescent="0.3">
      <c r="B109" s="4">
        <v>38534</v>
      </c>
      <c r="C109" s="5">
        <v>10036</v>
      </c>
    </row>
    <row r="110" spans="2:3" x14ac:dyDescent="0.3">
      <c r="B110" s="4">
        <v>38565</v>
      </c>
      <c r="C110" s="5">
        <v>10046</v>
      </c>
    </row>
    <row r="111" spans="2:3" x14ac:dyDescent="0.3">
      <c r="B111" s="4">
        <v>38596</v>
      </c>
      <c r="C111" s="5">
        <v>10155</v>
      </c>
    </row>
    <row r="112" spans="2:3" x14ac:dyDescent="0.3">
      <c r="B112" s="4">
        <v>38626</v>
      </c>
      <c r="C112" s="5">
        <v>10175</v>
      </c>
    </row>
    <row r="113" spans="2:3" x14ac:dyDescent="0.3">
      <c r="B113" s="4">
        <v>38657</v>
      </c>
      <c r="C113" s="5">
        <v>10185</v>
      </c>
    </row>
    <row r="114" spans="2:3" x14ac:dyDescent="0.3">
      <c r="B114" s="4">
        <v>38687</v>
      </c>
      <c r="C114" s="5">
        <v>10265</v>
      </c>
    </row>
    <row r="115" spans="2:3" x14ac:dyDescent="0.3">
      <c r="B115" s="4">
        <v>38718</v>
      </c>
      <c r="C115" s="5">
        <v>10255</v>
      </c>
    </row>
    <row r="116" spans="2:3" x14ac:dyDescent="0.3">
      <c r="B116" s="4">
        <v>38749</v>
      </c>
      <c r="C116" s="5">
        <v>10235</v>
      </c>
    </row>
    <row r="117" spans="2:3" x14ac:dyDescent="0.3">
      <c r="B117" s="4">
        <v>38777</v>
      </c>
      <c r="C117" s="5">
        <v>10205</v>
      </c>
    </row>
    <row r="118" spans="2:3" x14ac:dyDescent="0.3">
      <c r="B118" s="4">
        <v>38808</v>
      </c>
      <c r="C118" s="5">
        <v>10265</v>
      </c>
    </row>
    <row r="119" spans="2:3" x14ac:dyDescent="0.3">
      <c r="B119" s="4">
        <v>38838</v>
      </c>
      <c r="C119" s="5">
        <v>10294</v>
      </c>
    </row>
    <row r="120" spans="2:3" x14ac:dyDescent="0.3">
      <c r="B120" s="4">
        <v>38869</v>
      </c>
      <c r="C120" s="5">
        <v>10384</v>
      </c>
    </row>
    <row r="121" spans="2:3" x14ac:dyDescent="0.3">
      <c r="B121" s="4">
        <v>38899</v>
      </c>
      <c r="C121" s="5">
        <v>10384</v>
      </c>
    </row>
    <row r="122" spans="2:3" x14ac:dyDescent="0.3">
      <c r="B122" s="4">
        <v>38930</v>
      </c>
      <c r="C122" s="5">
        <v>10394</v>
      </c>
    </row>
    <row r="123" spans="2:3" x14ac:dyDescent="0.3">
      <c r="B123" s="4">
        <v>38961</v>
      </c>
      <c r="C123" s="5">
        <v>10404</v>
      </c>
    </row>
    <row r="124" spans="2:3" x14ac:dyDescent="0.3">
      <c r="B124" s="4">
        <v>38991</v>
      </c>
      <c r="C124" s="5">
        <v>10404</v>
      </c>
    </row>
    <row r="125" spans="2:3" x14ac:dyDescent="0.3">
      <c r="B125" s="4">
        <v>39022</v>
      </c>
      <c r="C125" s="5">
        <v>10314</v>
      </c>
    </row>
    <row r="126" spans="2:3" x14ac:dyDescent="0.3">
      <c r="B126" s="4">
        <v>39052</v>
      </c>
      <c r="C126" s="5">
        <v>10245</v>
      </c>
    </row>
    <row r="127" spans="2:3" x14ac:dyDescent="0.3">
      <c r="B127" s="4">
        <v>39083</v>
      </c>
      <c r="C127" s="5">
        <v>10225</v>
      </c>
    </row>
    <row r="128" spans="2:3" x14ac:dyDescent="0.3">
      <c r="B128" s="4">
        <v>39114</v>
      </c>
      <c r="C128" s="5">
        <v>10225</v>
      </c>
    </row>
    <row r="129" spans="2:3" x14ac:dyDescent="0.3">
      <c r="B129" s="4">
        <v>39142</v>
      </c>
      <c r="C129" s="5">
        <v>10211</v>
      </c>
    </row>
    <row r="130" spans="2:3" x14ac:dyDescent="0.3">
      <c r="B130" s="4">
        <v>39173</v>
      </c>
      <c r="C130" s="5">
        <v>10180</v>
      </c>
    </row>
    <row r="131" spans="2:3" x14ac:dyDescent="0.3">
      <c r="B131" s="4">
        <v>39203</v>
      </c>
      <c r="C131" s="5">
        <v>10201</v>
      </c>
    </row>
    <row r="132" spans="2:3" x14ac:dyDescent="0.3">
      <c r="B132" s="4">
        <v>39234</v>
      </c>
      <c r="C132" s="5">
        <v>10252</v>
      </c>
    </row>
    <row r="133" spans="2:3" x14ac:dyDescent="0.3">
      <c r="B133" s="4">
        <v>39264</v>
      </c>
      <c r="C133" s="5">
        <v>10252</v>
      </c>
    </row>
    <row r="134" spans="2:3" x14ac:dyDescent="0.3">
      <c r="B134" s="4">
        <v>39295</v>
      </c>
      <c r="C134" s="5">
        <v>10325</v>
      </c>
    </row>
    <row r="135" spans="2:3" x14ac:dyDescent="0.3">
      <c r="B135" s="4">
        <v>39326</v>
      </c>
      <c r="C135" s="5">
        <v>10438</v>
      </c>
    </row>
    <row r="136" spans="2:3" x14ac:dyDescent="0.3">
      <c r="B136" s="4">
        <v>39356</v>
      </c>
      <c r="C136" s="5">
        <v>10510</v>
      </c>
    </row>
    <row r="137" spans="2:3" x14ac:dyDescent="0.3">
      <c r="B137" s="4">
        <v>39387</v>
      </c>
      <c r="C137" s="5">
        <v>10459</v>
      </c>
    </row>
    <row r="138" spans="2:3" x14ac:dyDescent="0.3">
      <c r="B138" s="4">
        <v>39417</v>
      </c>
      <c r="C138" s="5">
        <v>10469</v>
      </c>
    </row>
    <row r="139" spans="2:3" x14ac:dyDescent="0.3">
      <c r="B139" s="4">
        <v>39448</v>
      </c>
      <c r="C139" s="5">
        <v>10510</v>
      </c>
    </row>
    <row r="140" spans="2:3" x14ac:dyDescent="0.3">
      <c r="B140" s="4">
        <v>39479</v>
      </c>
      <c r="C140" s="5">
        <v>10572</v>
      </c>
    </row>
    <row r="141" spans="2:3" x14ac:dyDescent="0.3">
      <c r="B141" s="4">
        <v>39508</v>
      </c>
      <c r="C141" s="5">
        <v>10572</v>
      </c>
    </row>
    <row r="142" spans="2:3" x14ac:dyDescent="0.3">
      <c r="B142" s="4">
        <v>39539</v>
      </c>
      <c r="C142" s="5">
        <v>10552</v>
      </c>
    </row>
    <row r="143" spans="2:3" x14ac:dyDescent="0.3">
      <c r="B143" s="4">
        <v>39569</v>
      </c>
      <c r="C143" s="5">
        <v>10583</v>
      </c>
    </row>
    <row r="144" spans="2:3" x14ac:dyDescent="0.3">
      <c r="B144" s="4">
        <v>39600</v>
      </c>
      <c r="C144" s="5">
        <v>10737</v>
      </c>
    </row>
    <row r="145" spans="2:3" x14ac:dyDescent="0.3">
      <c r="B145" s="4">
        <v>39630</v>
      </c>
      <c r="C145" s="5">
        <v>10809</v>
      </c>
    </row>
    <row r="146" spans="2:3" x14ac:dyDescent="0.3">
      <c r="B146" s="4">
        <v>39661</v>
      </c>
      <c r="C146" s="5">
        <v>10820</v>
      </c>
    </row>
    <row r="147" spans="2:3" x14ac:dyDescent="0.3">
      <c r="B147" s="4">
        <v>39692</v>
      </c>
      <c r="C147" s="5">
        <v>10944</v>
      </c>
    </row>
    <row r="148" spans="2:3" x14ac:dyDescent="0.3">
      <c r="B148" s="4">
        <v>39722</v>
      </c>
      <c r="C148" s="5">
        <v>11036</v>
      </c>
    </row>
    <row r="149" spans="2:3" x14ac:dyDescent="0.3">
      <c r="B149" s="4">
        <v>39753</v>
      </c>
      <c r="C149" s="5">
        <v>11036</v>
      </c>
    </row>
    <row r="150" spans="2:3" x14ac:dyDescent="0.3">
      <c r="B150" s="4">
        <v>39783</v>
      </c>
      <c r="C150" s="5">
        <v>11047</v>
      </c>
    </row>
    <row r="151" spans="2:3" x14ac:dyDescent="0.3">
      <c r="B151" s="4">
        <v>39814</v>
      </c>
      <c r="C151" s="5">
        <v>10985</v>
      </c>
    </row>
    <row r="152" spans="2:3" x14ac:dyDescent="0.3">
      <c r="B152" s="4">
        <v>39845</v>
      </c>
      <c r="C152" s="5">
        <v>10974</v>
      </c>
    </row>
    <row r="153" spans="2:3" x14ac:dyDescent="0.3">
      <c r="B153" s="4">
        <v>39873</v>
      </c>
      <c r="C153" s="5">
        <v>10916</v>
      </c>
    </row>
    <row r="154" spans="2:3" x14ac:dyDescent="0.3">
      <c r="B154" s="4">
        <v>39904</v>
      </c>
      <c r="C154" s="5">
        <v>10905</v>
      </c>
    </row>
    <row r="155" spans="2:3" x14ac:dyDescent="0.3">
      <c r="B155" s="4">
        <v>39934</v>
      </c>
      <c r="C155" s="5">
        <v>10960</v>
      </c>
    </row>
    <row r="156" spans="2:3" x14ac:dyDescent="0.3">
      <c r="B156" s="4">
        <v>39965</v>
      </c>
      <c r="C156" s="5">
        <v>11068</v>
      </c>
    </row>
    <row r="157" spans="2:3" x14ac:dyDescent="0.3">
      <c r="B157" s="4">
        <v>39995</v>
      </c>
      <c r="C157" s="5">
        <v>11111</v>
      </c>
    </row>
    <row r="158" spans="2:3" x14ac:dyDescent="0.3">
      <c r="B158" s="4">
        <v>40026</v>
      </c>
      <c r="C158" s="5">
        <v>11209</v>
      </c>
    </row>
    <row r="159" spans="2:3" x14ac:dyDescent="0.3">
      <c r="B159" s="4">
        <v>40057</v>
      </c>
      <c r="C159" s="5">
        <v>11328</v>
      </c>
    </row>
    <row r="160" spans="2:3" x14ac:dyDescent="0.3">
      <c r="B160" s="4">
        <v>40087</v>
      </c>
      <c r="C160" s="5">
        <v>11382</v>
      </c>
    </row>
    <row r="161" spans="2:3" x14ac:dyDescent="0.3">
      <c r="B161" s="4">
        <v>40118</v>
      </c>
      <c r="C161" s="5">
        <v>11350</v>
      </c>
    </row>
    <row r="162" spans="2:3" x14ac:dyDescent="0.3">
      <c r="B162" s="4">
        <v>40148</v>
      </c>
      <c r="C162" s="5">
        <v>11372</v>
      </c>
    </row>
    <row r="163" spans="2:3" x14ac:dyDescent="0.3">
      <c r="B163" s="4">
        <v>40179</v>
      </c>
      <c r="C163" s="5">
        <v>11404</v>
      </c>
    </row>
    <row r="164" spans="2:3" x14ac:dyDescent="0.3">
      <c r="B164" s="4">
        <v>40210</v>
      </c>
      <c r="C164" s="5">
        <v>11404</v>
      </c>
    </row>
    <row r="165" spans="2:3" x14ac:dyDescent="0.3">
      <c r="B165" s="4">
        <v>40238</v>
      </c>
      <c r="C165" s="5">
        <v>11328</v>
      </c>
    </row>
    <row r="166" spans="2:3" x14ac:dyDescent="0.3">
      <c r="B166" s="4">
        <v>40269</v>
      </c>
      <c r="C166" s="5">
        <v>11296</v>
      </c>
    </row>
    <row r="167" spans="2:3" x14ac:dyDescent="0.3">
      <c r="B167" s="4">
        <v>40299</v>
      </c>
      <c r="C167" s="5">
        <v>11307</v>
      </c>
    </row>
    <row r="168" spans="2:3" x14ac:dyDescent="0.3">
      <c r="B168" s="4">
        <v>40330</v>
      </c>
      <c r="C168" s="5">
        <v>11404</v>
      </c>
    </row>
    <row r="169" spans="2:3" x14ac:dyDescent="0.3">
      <c r="B169" s="4">
        <v>40360</v>
      </c>
      <c r="C169" s="5">
        <v>11447</v>
      </c>
    </row>
    <row r="170" spans="2:3" x14ac:dyDescent="0.3">
      <c r="B170" s="4">
        <v>40391</v>
      </c>
      <c r="C170" s="5">
        <v>11480</v>
      </c>
    </row>
    <row r="171" spans="2:3" x14ac:dyDescent="0.3">
      <c r="B171" s="4">
        <v>40422</v>
      </c>
      <c r="C171" s="5">
        <v>11534</v>
      </c>
    </row>
    <row r="172" spans="2:3" x14ac:dyDescent="0.3">
      <c r="B172" s="4">
        <v>40452</v>
      </c>
      <c r="C172" s="5">
        <v>11588</v>
      </c>
    </row>
    <row r="173" spans="2:3" x14ac:dyDescent="0.3">
      <c r="B173" s="4">
        <v>40483</v>
      </c>
      <c r="C173" s="5">
        <v>11621</v>
      </c>
    </row>
    <row r="174" spans="2:3" x14ac:dyDescent="0.3">
      <c r="B174" s="4">
        <v>40513</v>
      </c>
      <c r="C174" s="5">
        <v>11653</v>
      </c>
    </row>
    <row r="175" spans="2:3" x14ac:dyDescent="0.3">
      <c r="B175" s="4">
        <v>40544</v>
      </c>
      <c r="C175" s="5">
        <v>11664</v>
      </c>
    </row>
    <row r="176" spans="2:3" x14ac:dyDescent="0.3">
      <c r="B176" s="4">
        <v>40575</v>
      </c>
      <c r="C176" s="5">
        <v>11708</v>
      </c>
    </row>
    <row r="177" spans="2:3" x14ac:dyDescent="0.3">
      <c r="B177" s="4">
        <v>40603</v>
      </c>
      <c r="C177" s="5">
        <v>11732</v>
      </c>
    </row>
    <row r="178" spans="2:3" x14ac:dyDescent="0.3">
      <c r="B178" s="4">
        <v>40634</v>
      </c>
      <c r="C178" s="5">
        <v>11766</v>
      </c>
    </row>
    <row r="179" spans="2:3" x14ac:dyDescent="0.3">
      <c r="B179" s="4">
        <v>40664</v>
      </c>
      <c r="C179" s="5">
        <v>11789</v>
      </c>
    </row>
    <row r="180" spans="2:3" x14ac:dyDescent="0.3">
      <c r="B180" s="4">
        <v>40695</v>
      </c>
      <c r="C180" s="5">
        <v>11858</v>
      </c>
    </row>
    <row r="181" spans="2:3" x14ac:dyDescent="0.3">
      <c r="B181" s="4">
        <v>40725</v>
      </c>
      <c r="C181" s="5">
        <v>11916</v>
      </c>
    </row>
    <row r="182" spans="2:3" x14ac:dyDescent="0.3">
      <c r="B182" s="4">
        <v>40756</v>
      </c>
      <c r="C182" s="5">
        <v>11962</v>
      </c>
    </row>
    <row r="183" spans="2:3" x14ac:dyDescent="0.3">
      <c r="B183" s="4">
        <v>40787</v>
      </c>
      <c r="C183" s="5">
        <v>11927</v>
      </c>
    </row>
    <row r="184" spans="2:3" x14ac:dyDescent="0.3">
      <c r="B184" s="4">
        <v>40817</v>
      </c>
      <c r="C184" s="5">
        <v>11985</v>
      </c>
    </row>
    <row r="185" spans="2:3" x14ac:dyDescent="0.3">
      <c r="B185" s="4">
        <v>40848</v>
      </c>
      <c r="C185" s="5">
        <v>11962</v>
      </c>
    </row>
    <row r="186" spans="2:3" x14ac:dyDescent="0.3">
      <c r="B186" s="4">
        <v>40878</v>
      </c>
      <c r="C186" s="5">
        <v>11973</v>
      </c>
    </row>
    <row r="187" spans="2:3" x14ac:dyDescent="0.3">
      <c r="B187" s="4">
        <v>40909</v>
      </c>
      <c r="C187" s="5">
        <v>11962</v>
      </c>
    </row>
    <row r="188" spans="2:3" x14ac:dyDescent="0.3">
      <c r="B188" s="4">
        <v>40940</v>
      </c>
      <c r="C188" s="5">
        <v>11962</v>
      </c>
    </row>
    <row r="189" spans="2:3" x14ac:dyDescent="0.3">
      <c r="B189" s="4">
        <v>40969</v>
      </c>
      <c r="C189" s="5">
        <v>11962</v>
      </c>
    </row>
    <row r="190" spans="2:3" x14ac:dyDescent="0.3">
      <c r="B190" s="4">
        <v>41000</v>
      </c>
      <c r="C190" s="5">
        <v>11962</v>
      </c>
    </row>
    <row r="191" spans="2:3" x14ac:dyDescent="0.3">
      <c r="B191" s="4">
        <v>41030</v>
      </c>
      <c r="C191" s="5">
        <v>12008</v>
      </c>
    </row>
    <row r="192" spans="2:3" x14ac:dyDescent="0.3">
      <c r="B192" s="4">
        <v>41061</v>
      </c>
      <c r="C192" s="5">
        <v>12111</v>
      </c>
    </row>
    <row r="193" spans="2:3" x14ac:dyDescent="0.3">
      <c r="B193" s="4">
        <v>41091</v>
      </c>
      <c r="C193" s="5">
        <v>12111</v>
      </c>
    </row>
    <row r="194" spans="2:3" x14ac:dyDescent="0.3">
      <c r="B194" s="4">
        <v>41122</v>
      </c>
      <c r="C194" s="5">
        <v>12077</v>
      </c>
    </row>
    <row r="195" spans="2:3" x14ac:dyDescent="0.3">
      <c r="B195" s="4">
        <v>41153</v>
      </c>
      <c r="C195" s="5">
        <v>12088</v>
      </c>
    </row>
    <row r="196" spans="2:3" x14ac:dyDescent="0.3">
      <c r="B196" s="4">
        <v>41183</v>
      </c>
      <c r="C196" s="5">
        <v>12215</v>
      </c>
    </row>
    <row r="197" spans="2:3" x14ac:dyDescent="0.3">
      <c r="B197" s="4">
        <v>41214</v>
      </c>
      <c r="C197" s="5">
        <v>12215</v>
      </c>
    </row>
    <row r="198" spans="2:3" x14ac:dyDescent="0.3">
      <c r="B198" s="4">
        <v>41244</v>
      </c>
      <c r="C198" s="5">
        <v>12192</v>
      </c>
    </row>
    <row r="199" spans="2:3" x14ac:dyDescent="0.3">
      <c r="B199" s="4">
        <v>41275</v>
      </c>
      <c r="C199" s="5">
        <v>12134</v>
      </c>
    </row>
    <row r="200" spans="2:3" x14ac:dyDescent="0.3">
      <c r="B200" s="4">
        <v>41306</v>
      </c>
      <c r="C200" s="5">
        <v>12157</v>
      </c>
    </row>
    <row r="201" spans="2:3" x14ac:dyDescent="0.3">
      <c r="B201" s="4">
        <v>41334</v>
      </c>
      <c r="C201" s="5">
        <v>12136</v>
      </c>
    </row>
    <row r="202" spans="2:3" x14ac:dyDescent="0.3">
      <c r="B202" s="4">
        <v>41365</v>
      </c>
      <c r="C202" s="5">
        <v>12136</v>
      </c>
    </row>
    <row r="203" spans="2:3" x14ac:dyDescent="0.3">
      <c r="B203" s="4">
        <v>41395</v>
      </c>
      <c r="C203" s="5">
        <v>12160</v>
      </c>
    </row>
    <row r="204" spans="2:3" x14ac:dyDescent="0.3">
      <c r="B204" s="4">
        <v>41426</v>
      </c>
      <c r="C204" s="5">
        <v>12209</v>
      </c>
    </row>
    <row r="205" spans="2:3" x14ac:dyDescent="0.3">
      <c r="B205" s="4">
        <v>41456</v>
      </c>
      <c r="C205" s="5">
        <v>12221</v>
      </c>
    </row>
    <row r="206" spans="2:3" x14ac:dyDescent="0.3">
      <c r="B206" s="4">
        <v>41487</v>
      </c>
      <c r="C206" s="5">
        <v>12318</v>
      </c>
    </row>
    <row r="207" spans="2:3" x14ac:dyDescent="0.3">
      <c r="B207" s="4">
        <v>41518</v>
      </c>
      <c r="C207" s="5">
        <v>12354</v>
      </c>
    </row>
    <row r="208" spans="2:3" x14ac:dyDescent="0.3">
      <c r="B208" s="4">
        <v>41548</v>
      </c>
      <c r="C208" s="5">
        <v>12378</v>
      </c>
    </row>
    <row r="209" spans="1:3" x14ac:dyDescent="0.3">
      <c r="B209" s="4">
        <v>41579</v>
      </c>
      <c r="C209" s="5">
        <v>12378</v>
      </c>
    </row>
    <row r="210" spans="1:3" x14ac:dyDescent="0.3">
      <c r="B210" s="4">
        <v>41609</v>
      </c>
      <c r="C210" s="5">
        <v>12414</v>
      </c>
    </row>
    <row r="211" spans="1:3" x14ac:dyDescent="0.3">
      <c r="B211" s="4">
        <v>41640</v>
      </c>
      <c r="C211" s="5">
        <v>12366</v>
      </c>
    </row>
    <row r="212" spans="1:3" x14ac:dyDescent="0.3">
      <c r="B212" s="4">
        <v>41671</v>
      </c>
      <c r="C212" s="5">
        <v>12378</v>
      </c>
    </row>
    <row r="213" spans="1:3" x14ac:dyDescent="0.3">
      <c r="B213" s="4">
        <v>41699</v>
      </c>
      <c r="C213" s="5">
        <v>12305</v>
      </c>
    </row>
    <row r="214" spans="1:3" x14ac:dyDescent="0.3">
      <c r="B214" s="4">
        <v>41730</v>
      </c>
      <c r="C214" s="5">
        <v>12281</v>
      </c>
    </row>
    <row r="215" spans="1:3" x14ac:dyDescent="0.3">
      <c r="B215" s="4">
        <v>41760</v>
      </c>
      <c r="C215" s="5">
        <v>12318</v>
      </c>
    </row>
    <row r="216" spans="1:3" x14ac:dyDescent="0.3">
      <c r="B216" s="4">
        <v>41791</v>
      </c>
      <c r="C216" s="5">
        <v>12330</v>
      </c>
    </row>
    <row r="217" spans="1:3" x14ac:dyDescent="0.3">
      <c r="B217" s="4">
        <v>41821</v>
      </c>
      <c r="C217" s="5">
        <v>12342</v>
      </c>
    </row>
    <row r="218" spans="1:3" x14ac:dyDescent="0.3">
      <c r="B218" s="4">
        <v>41852</v>
      </c>
      <c r="C218" s="5">
        <v>12378</v>
      </c>
    </row>
    <row r="219" spans="1:3" x14ac:dyDescent="0.3">
      <c r="B219" s="4">
        <v>41883</v>
      </c>
      <c r="C219" s="5">
        <v>12390</v>
      </c>
    </row>
    <row r="220" spans="1:3" x14ac:dyDescent="0.3">
      <c r="B220" s="4">
        <v>41913</v>
      </c>
      <c r="C220" s="5">
        <v>12378</v>
      </c>
    </row>
    <row r="221" spans="1:3" x14ac:dyDescent="0.3">
      <c r="B221" s="4">
        <v>41944</v>
      </c>
      <c r="C221" s="5">
        <v>12342</v>
      </c>
    </row>
    <row r="222" spans="1:3" x14ac:dyDescent="0.3">
      <c r="B222" s="4">
        <v>41974</v>
      </c>
      <c r="C222" s="5">
        <v>12378</v>
      </c>
    </row>
    <row r="223" spans="1:3" x14ac:dyDescent="0.3">
      <c r="A223">
        <v>2015</v>
      </c>
      <c r="B223" s="4">
        <v>42005</v>
      </c>
      <c r="C223" s="5">
        <v>12354</v>
      </c>
    </row>
    <row r="224" spans="1:3" x14ac:dyDescent="0.3">
      <c r="B224" s="4">
        <v>42036</v>
      </c>
      <c r="C224" s="5">
        <v>12354</v>
      </c>
    </row>
    <row r="225" spans="1:3" x14ac:dyDescent="0.3">
      <c r="B225" s="4">
        <v>42064</v>
      </c>
      <c r="C225" s="5">
        <v>12354</v>
      </c>
    </row>
    <row r="226" spans="1:3" x14ac:dyDescent="0.3">
      <c r="B226" s="4">
        <v>42095</v>
      </c>
      <c r="C226" s="5">
        <v>12354</v>
      </c>
    </row>
    <row r="227" spans="1:3" x14ac:dyDescent="0.3">
      <c r="B227" s="4">
        <v>42125</v>
      </c>
      <c r="C227" s="5">
        <v>12354</v>
      </c>
    </row>
    <row r="228" spans="1:3" x14ac:dyDescent="0.3">
      <c r="B228" s="4">
        <v>42156</v>
      </c>
      <c r="C228" s="5">
        <v>12354</v>
      </c>
    </row>
    <row r="229" spans="1:3" x14ac:dyDescent="0.3">
      <c r="B229" s="4">
        <v>42186</v>
      </c>
      <c r="C229" s="5">
        <v>12354</v>
      </c>
    </row>
    <row r="230" spans="1:3" x14ac:dyDescent="0.3">
      <c r="B230" s="4">
        <v>42217</v>
      </c>
      <c r="C230" s="5">
        <v>12354</v>
      </c>
    </row>
    <row r="231" spans="1:3" x14ac:dyDescent="0.3">
      <c r="B231" s="4">
        <v>42248</v>
      </c>
      <c r="C231" s="5">
        <v>12354</v>
      </c>
    </row>
    <row r="232" spans="1:3" x14ac:dyDescent="0.3">
      <c r="B232" s="4">
        <v>42278</v>
      </c>
      <c r="C232" s="5">
        <v>12354</v>
      </c>
    </row>
    <row r="233" spans="1:3" x14ac:dyDescent="0.3">
      <c r="B233" s="4">
        <v>42309</v>
      </c>
      <c r="C233" s="5">
        <v>12354</v>
      </c>
    </row>
    <row r="234" spans="1:3" x14ac:dyDescent="0.3">
      <c r="B234" s="4">
        <v>42339</v>
      </c>
      <c r="C234" s="5">
        <v>12354</v>
      </c>
    </row>
    <row r="235" spans="1:3" x14ac:dyDescent="0.3">
      <c r="A235">
        <v>2016</v>
      </c>
      <c r="B235" s="4">
        <v>42370</v>
      </c>
      <c r="C235" s="5">
        <v>12354</v>
      </c>
    </row>
    <row r="236" spans="1:3" x14ac:dyDescent="0.3">
      <c r="B236" s="4">
        <v>42401</v>
      </c>
      <c r="C236" s="5">
        <v>12354</v>
      </c>
    </row>
    <row r="237" spans="1:3" x14ac:dyDescent="0.3">
      <c r="B237" s="4">
        <v>42430</v>
      </c>
      <c r="C237" s="5">
        <v>12354</v>
      </c>
    </row>
    <row r="238" spans="1:3" x14ac:dyDescent="0.3">
      <c r="B238" s="4">
        <v>42461</v>
      </c>
      <c r="C238" s="5">
        <v>12354</v>
      </c>
    </row>
    <row r="239" spans="1:3" x14ac:dyDescent="0.3">
      <c r="B239" s="4">
        <v>42491</v>
      </c>
      <c r="C239" s="5">
        <v>12354</v>
      </c>
    </row>
    <row r="240" spans="1:3" x14ac:dyDescent="0.3">
      <c r="B240" s="4">
        <v>42522</v>
      </c>
      <c r="C240" s="5">
        <v>12354</v>
      </c>
    </row>
    <row r="241" spans="1:3" x14ac:dyDescent="0.3">
      <c r="B241" s="4">
        <v>42552</v>
      </c>
      <c r="C241" s="5">
        <v>12354</v>
      </c>
    </row>
    <row r="242" spans="1:3" x14ac:dyDescent="0.3">
      <c r="B242" s="4">
        <v>42583</v>
      </c>
    </row>
    <row r="243" spans="1:3" x14ac:dyDescent="0.3">
      <c r="B243" s="4">
        <v>42614</v>
      </c>
    </row>
    <row r="244" spans="1:3" x14ac:dyDescent="0.3">
      <c r="B244" s="4">
        <v>42644</v>
      </c>
    </row>
    <row r="245" spans="1:3" x14ac:dyDescent="0.3">
      <c r="B245" s="4">
        <v>42675</v>
      </c>
    </row>
    <row r="246" spans="1:3" x14ac:dyDescent="0.3">
      <c r="B246" s="4">
        <v>42705</v>
      </c>
    </row>
    <row r="247" spans="1:3" x14ac:dyDescent="0.3">
      <c r="A247">
        <v>2017</v>
      </c>
      <c r="B247" s="4">
        <v>42736</v>
      </c>
    </row>
    <row r="248" spans="1:3" x14ac:dyDescent="0.3">
      <c r="B248" s="4">
        <v>42767</v>
      </c>
    </row>
    <row r="249" spans="1:3" x14ac:dyDescent="0.3">
      <c r="B249" s="4">
        <v>42795</v>
      </c>
    </row>
    <row r="250" spans="1:3" x14ac:dyDescent="0.3">
      <c r="B250" s="4">
        <v>42826</v>
      </c>
    </row>
    <row r="251" spans="1:3" x14ac:dyDescent="0.3">
      <c r="B251" s="4">
        <v>42856</v>
      </c>
    </row>
  </sheetData>
  <sheetProtection password="C73F" sheet="1" objects="1" scenarios="1" selectLockedCells="1" selectUnlockedCell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7"/>
  <sheetViews>
    <sheetView rightToLeft="1" tabSelected="1" topLeftCell="A3" workbookViewId="0">
      <selection activeCell="C11" sqref="C11"/>
    </sheetView>
  </sheetViews>
  <sheetFormatPr defaultRowHeight="14" x14ac:dyDescent="0.3"/>
  <cols>
    <col min="2" max="2" width="13.5" customWidth="1"/>
    <col min="3" max="3" width="13.08203125" customWidth="1"/>
    <col min="5" max="5" width="13.33203125" customWidth="1"/>
    <col min="6" max="6" width="14.08203125" customWidth="1"/>
    <col min="7" max="7" width="12.33203125" customWidth="1"/>
    <col min="8" max="8" width="13.25" customWidth="1"/>
    <col min="9" max="9" width="13.58203125" customWidth="1"/>
    <col min="10" max="10" width="10.75" customWidth="1"/>
    <col min="11" max="11" width="11.58203125" customWidth="1"/>
  </cols>
  <sheetData>
    <row r="2" spans="1:13" x14ac:dyDescent="0.3">
      <c r="B2" s="26" t="s">
        <v>18</v>
      </c>
      <c r="E2" s="9"/>
      <c r="F2" s="9"/>
      <c r="G2" s="9"/>
      <c r="H2" s="9"/>
    </row>
    <row r="3" spans="1:13" x14ac:dyDescent="0.3">
      <c r="E3" s="9"/>
      <c r="F3" s="9"/>
      <c r="G3" s="9"/>
      <c r="H3" s="9"/>
    </row>
    <row r="4" spans="1:13" x14ac:dyDescent="0.3">
      <c r="E4" s="9"/>
      <c r="F4" s="9"/>
      <c r="M4" s="9"/>
    </row>
    <row r="6" spans="1:13" x14ac:dyDescent="0.3">
      <c r="B6" t="s">
        <v>17</v>
      </c>
      <c r="C6" s="41">
        <v>2.75</v>
      </c>
    </row>
    <row r="7" spans="1:13" x14ac:dyDescent="0.3">
      <c r="M7" s="9"/>
    </row>
    <row r="8" spans="1:13" x14ac:dyDescent="0.3">
      <c r="A8" s="25">
        <v>1</v>
      </c>
      <c r="B8" t="s">
        <v>19</v>
      </c>
      <c r="C8" s="42">
        <v>10350</v>
      </c>
      <c r="D8" t="s">
        <v>71</v>
      </c>
      <c r="E8" s="27">
        <f>(+C8-C9)*12</f>
        <v>97632</v>
      </c>
      <c r="F8" t="s">
        <v>22</v>
      </c>
      <c r="G8" s="28">
        <f>+I8/12</f>
        <v>296.24000000000007</v>
      </c>
      <c r="H8" t="s">
        <v>21</v>
      </c>
      <c r="I8" s="28">
        <f>+'נתונים כללים'!J19</f>
        <v>3554.880000000001</v>
      </c>
      <c r="J8" t="s">
        <v>69</v>
      </c>
      <c r="K8" s="24">
        <f>+C8-G8</f>
        <v>10053.76</v>
      </c>
    </row>
    <row r="9" spans="1:13" x14ac:dyDescent="0.3">
      <c r="A9" s="25"/>
      <c r="B9" t="s">
        <v>70</v>
      </c>
      <c r="C9" s="42">
        <v>2214</v>
      </c>
      <c r="G9" s="23"/>
      <c r="I9" s="28"/>
      <c r="K9" s="23"/>
    </row>
    <row r="10" spans="1:13" x14ac:dyDescent="0.3">
      <c r="A10" s="25"/>
      <c r="G10" s="23"/>
      <c r="I10" s="28"/>
      <c r="K10" s="23"/>
    </row>
    <row r="11" spans="1:13" x14ac:dyDescent="0.3">
      <c r="A11" s="25">
        <v>2</v>
      </c>
      <c r="B11" t="s">
        <v>19</v>
      </c>
      <c r="C11" s="42">
        <f>+C8+5628</f>
        <v>15978</v>
      </c>
      <c r="D11" t="s">
        <v>20</v>
      </c>
      <c r="E11" s="27">
        <f>(+C11-C12)*12</f>
        <v>165600</v>
      </c>
      <c r="F11" t="s">
        <v>22</v>
      </c>
      <c r="G11" s="28">
        <f>+I11/12</f>
        <v>1382</v>
      </c>
      <c r="H11" t="s">
        <v>21</v>
      </c>
      <c r="I11" s="28">
        <f>+'נתונים כללים'!J20</f>
        <v>16584</v>
      </c>
      <c r="J11" t="s">
        <v>69</v>
      </c>
      <c r="K11" s="24">
        <f>+C11-G11</f>
        <v>14596</v>
      </c>
    </row>
    <row r="12" spans="1:13" x14ac:dyDescent="0.3">
      <c r="A12" s="25"/>
      <c r="B12" t="s">
        <v>70</v>
      </c>
      <c r="C12" s="42">
        <v>2178</v>
      </c>
      <c r="G12" s="23"/>
      <c r="I12" s="28"/>
      <c r="K12" s="23"/>
    </row>
    <row r="13" spans="1:13" x14ac:dyDescent="0.3">
      <c r="A13" s="25"/>
      <c r="G13" s="23"/>
      <c r="I13" s="28"/>
      <c r="K13" s="23"/>
    </row>
    <row r="14" spans="1:13" x14ac:dyDescent="0.3">
      <c r="A14" s="25">
        <v>3</v>
      </c>
      <c r="B14" t="s">
        <v>19</v>
      </c>
      <c r="C14" s="42">
        <v>17500</v>
      </c>
      <c r="D14" t="s">
        <v>20</v>
      </c>
      <c r="E14" s="27">
        <f>(+C14-C15)*12</f>
        <v>183432</v>
      </c>
      <c r="F14" t="s">
        <v>22</v>
      </c>
      <c r="G14" s="28">
        <f>+I14/12</f>
        <v>1785.46</v>
      </c>
      <c r="H14" t="s">
        <v>21</v>
      </c>
      <c r="I14" s="28">
        <f>+'נתונים כללים'!J21</f>
        <v>21425.52</v>
      </c>
      <c r="J14" t="s">
        <v>69</v>
      </c>
      <c r="K14" s="24">
        <f>+C14-G14</f>
        <v>15714.54</v>
      </c>
    </row>
    <row r="15" spans="1:13" x14ac:dyDescent="0.3">
      <c r="A15" s="25"/>
      <c r="B15" t="s">
        <v>70</v>
      </c>
      <c r="C15" s="42">
        <f>+C9</f>
        <v>2214</v>
      </c>
      <c r="G15" s="23"/>
      <c r="I15" s="28"/>
      <c r="K15" s="23"/>
    </row>
    <row r="16" spans="1:13" x14ac:dyDescent="0.3">
      <c r="A16" s="25"/>
      <c r="G16" s="23"/>
      <c r="I16" s="28"/>
      <c r="K16" s="23"/>
    </row>
    <row r="17" spans="1:13" x14ac:dyDescent="0.3">
      <c r="A17" s="25">
        <v>4</v>
      </c>
      <c r="B17" t="s">
        <v>19</v>
      </c>
      <c r="C17" s="42">
        <v>17600</v>
      </c>
      <c r="D17" t="s">
        <v>20</v>
      </c>
      <c r="E17" s="27">
        <f>(+C17-C18)*12</f>
        <v>178104</v>
      </c>
      <c r="F17" t="s">
        <v>22</v>
      </c>
      <c r="G17" s="28">
        <f>+I17/12</f>
        <v>1647.82</v>
      </c>
      <c r="H17" t="s">
        <v>21</v>
      </c>
      <c r="I17" s="28">
        <f>+'נתונים כללים'!J22</f>
        <v>19773.84</v>
      </c>
      <c r="J17" t="s">
        <v>69</v>
      </c>
      <c r="K17" s="24">
        <f>+C17-G17</f>
        <v>15952.18</v>
      </c>
    </row>
    <row r="18" spans="1:13" x14ac:dyDescent="0.3">
      <c r="A18" s="25"/>
      <c r="B18" t="s">
        <v>70</v>
      </c>
      <c r="C18" s="42">
        <f>+C12+580</f>
        <v>2758</v>
      </c>
      <c r="G18" s="28"/>
      <c r="I18" s="28"/>
      <c r="K18" s="23"/>
    </row>
    <row r="19" spans="1:13" x14ac:dyDescent="0.3">
      <c r="A19" s="25"/>
      <c r="G19" s="28"/>
      <c r="I19" s="28"/>
      <c r="K19" s="23"/>
    </row>
    <row r="20" spans="1:13" x14ac:dyDescent="0.3">
      <c r="A20" s="25">
        <v>5</v>
      </c>
      <c r="B20" t="s">
        <v>19</v>
      </c>
      <c r="C20" s="42">
        <f>500000/12</f>
        <v>41666.666666666664</v>
      </c>
      <c r="D20" t="s">
        <v>20</v>
      </c>
      <c r="E20" s="27">
        <f>(+C20-C21)*12</f>
        <v>500000</v>
      </c>
      <c r="F20" t="s">
        <v>22</v>
      </c>
      <c r="G20" s="28">
        <f>+I20/12</f>
        <v>10864.933333333334</v>
      </c>
      <c r="H20" t="s">
        <v>21</v>
      </c>
      <c r="I20" s="28">
        <f>+'נתונים כללים'!J23</f>
        <v>130379.20000000001</v>
      </c>
      <c r="J20" t="s">
        <v>69</v>
      </c>
      <c r="K20" s="24">
        <f>+C20-G20</f>
        <v>30801.73333333333</v>
      </c>
    </row>
    <row r="21" spans="1:13" x14ac:dyDescent="0.3">
      <c r="B21" t="s">
        <v>70</v>
      </c>
      <c r="C21" s="42">
        <v>0</v>
      </c>
      <c r="M21" s="27"/>
    </row>
    <row r="22" spans="1:13" x14ac:dyDescent="0.3">
      <c r="G22" s="9"/>
    </row>
    <row r="23" spans="1:13" x14ac:dyDescent="0.3">
      <c r="B23" s="9"/>
    </row>
    <row r="24" spans="1:13" x14ac:dyDescent="0.3">
      <c r="I24" s="9"/>
    </row>
    <row r="25" spans="1:13" x14ac:dyDescent="0.3">
      <c r="E25" s="9"/>
      <c r="H25" s="9"/>
    </row>
    <row r="26" spans="1:13" x14ac:dyDescent="0.3">
      <c r="E26" s="9"/>
    </row>
    <row r="28" spans="1:13" x14ac:dyDescent="0.3">
      <c r="E28" s="9"/>
    </row>
    <row r="29" spans="1:13" x14ac:dyDescent="0.3">
      <c r="J29" s="11"/>
    </row>
    <row r="30" spans="1:13" x14ac:dyDescent="0.3">
      <c r="G30" s="29"/>
      <c r="L30" s="9"/>
    </row>
    <row r="31" spans="1:13" x14ac:dyDescent="0.3">
      <c r="B31" t="s">
        <v>25</v>
      </c>
    </row>
    <row r="32" spans="1:13" x14ac:dyDescent="0.3">
      <c r="B32" t="s">
        <v>26</v>
      </c>
    </row>
    <row r="33" spans="1:7" x14ac:dyDescent="0.3">
      <c r="B33" t="s">
        <v>24</v>
      </c>
    </row>
    <row r="36" spans="1:7" x14ac:dyDescent="0.3">
      <c r="A36" t="s">
        <v>27</v>
      </c>
      <c r="C36" s="24"/>
    </row>
    <row r="37" spans="1:7" x14ac:dyDescent="0.3">
      <c r="G37" s="21"/>
    </row>
  </sheetData>
  <sheetProtection password="C73F" sheet="1" objects="1" scenarios="1" selectLockedCells="1"/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47"/>
  <sheetViews>
    <sheetView rightToLeft="1" topLeftCell="A25" workbookViewId="0">
      <selection activeCell="E31" sqref="E31:E36"/>
    </sheetView>
  </sheetViews>
  <sheetFormatPr defaultRowHeight="14" x14ac:dyDescent="0.3"/>
  <cols>
    <col min="1" max="1" width="14.5" customWidth="1"/>
    <col min="2" max="2" width="14.25" customWidth="1"/>
    <col min="3" max="3" width="12" customWidth="1"/>
    <col min="4" max="5" width="12.75" customWidth="1"/>
    <col min="6" max="6" width="11.58203125" customWidth="1"/>
    <col min="7" max="7" width="12.08203125" customWidth="1"/>
  </cols>
  <sheetData>
    <row r="2" spans="1:22" x14ac:dyDescent="0.3">
      <c r="A2" t="s">
        <v>28</v>
      </c>
      <c r="B2" s="43"/>
      <c r="D2" t="s">
        <v>46</v>
      </c>
      <c r="E2" s="45">
        <v>180000</v>
      </c>
      <c r="V2" t="s">
        <v>33</v>
      </c>
    </row>
    <row r="3" spans="1:22" x14ac:dyDescent="0.3">
      <c r="B3" s="30"/>
      <c r="V3" t="s">
        <v>34</v>
      </c>
    </row>
    <row r="4" spans="1:22" x14ac:dyDescent="0.3">
      <c r="A4" t="s">
        <v>29</v>
      </c>
      <c r="B4" s="44">
        <v>26969</v>
      </c>
      <c r="C4" t="s">
        <v>73</v>
      </c>
    </row>
    <row r="5" spans="1:22" x14ac:dyDescent="0.3">
      <c r="B5" s="30"/>
    </row>
    <row r="6" spans="1:22" x14ac:dyDescent="0.3">
      <c r="A6" t="s">
        <v>30</v>
      </c>
      <c r="B6" s="44">
        <v>43131</v>
      </c>
      <c r="C6" t="s">
        <v>73</v>
      </c>
    </row>
    <row r="7" spans="1:22" x14ac:dyDescent="0.3">
      <c r="B7" s="31"/>
    </row>
    <row r="8" spans="1:22" x14ac:dyDescent="0.3">
      <c r="A8" t="s">
        <v>31</v>
      </c>
      <c r="B8" s="39">
        <f>+'חישובי עזר '!B3</f>
        <v>44.279452054794518</v>
      </c>
    </row>
    <row r="10" spans="1:22" x14ac:dyDescent="0.3">
      <c r="A10" t="s">
        <v>32</v>
      </c>
      <c r="B10" s="43" t="s">
        <v>34</v>
      </c>
    </row>
    <row r="12" spans="1:22" x14ac:dyDescent="0.3">
      <c r="A12" t="s">
        <v>35</v>
      </c>
      <c r="B12" s="43" t="s">
        <v>34</v>
      </c>
    </row>
    <row r="14" spans="1:22" x14ac:dyDescent="0.3">
      <c r="A14" t="s">
        <v>45</v>
      </c>
      <c r="B14" s="43">
        <v>2.75</v>
      </c>
    </row>
    <row r="17" spans="1:7" x14ac:dyDescent="0.3">
      <c r="A17" s="10" t="s">
        <v>42</v>
      </c>
    </row>
    <row r="18" spans="1:7" x14ac:dyDescent="0.3">
      <c r="B18" s="25" t="s">
        <v>14</v>
      </c>
      <c r="C18" s="25" t="s">
        <v>9</v>
      </c>
      <c r="D18" s="25" t="s">
        <v>44</v>
      </c>
      <c r="E18" s="25" t="s">
        <v>12</v>
      </c>
      <c r="F18" s="25"/>
      <c r="G18" s="25"/>
    </row>
    <row r="19" spans="1:7" x14ac:dyDescent="0.3">
      <c r="A19" s="34">
        <v>1</v>
      </c>
      <c r="B19" s="34">
        <f>+'חישובי עזר '!B7</f>
        <v>2018</v>
      </c>
      <c r="C19" s="45">
        <v>0</v>
      </c>
      <c r="D19" s="45">
        <v>200000</v>
      </c>
      <c r="E19" s="45">
        <f>8360*0.14*12</f>
        <v>14044.800000000001</v>
      </c>
    </row>
    <row r="20" spans="1:7" x14ac:dyDescent="0.3">
      <c r="A20" s="34">
        <v>2</v>
      </c>
      <c r="B20" s="34">
        <f>IF('חישובי עזר '!$B$5&gt;=פריסה!A20,B19-1,"לא רלוונטי")</f>
        <v>2017</v>
      </c>
      <c r="C20" s="45">
        <v>0</v>
      </c>
      <c r="D20" s="45">
        <f>13000*12</f>
        <v>156000</v>
      </c>
      <c r="E20" s="45"/>
    </row>
    <row r="21" spans="1:7" x14ac:dyDescent="0.3">
      <c r="A21" s="34">
        <v>3</v>
      </c>
      <c r="B21" s="34">
        <f>IF('חישובי עזר '!$B$5&gt;=פריסה!A21,B20-1,"לא רלוונטי")</f>
        <v>2016</v>
      </c>
      <c r="C21" s="45">
        <v>0</v>
      </c>
      <c r="D21" s="45">
        <f t="shared" ref="D21:D24" si="0">13000*12</f>
        <v>156000</v>
      </c>
      <c r="E21" s="45"/>
    </row>
    <row r="22" spans="1:7" x14ac:dyDescent="0.3">
      <c r="A22" s="34">
        <v>4</v>
      </c>
      <c r="B22" s="34">
        <f>IF('חישובי עזר '!$B$5&gt;=פריסה!A22,B21-1,"לא רלוונטי")</f>
        <v>2015</v>
      </c>
      <c r="C22" s="45">
        <v>0</v>
      </c>
      <c r="D22" s="45">
        <f t="shared" si="0"/>
        <v>156000</v>
      </c>
      <c r="E22" s="45"/>
    </row>
    <row r="23" spans="1:7" x14ac:dyDescent="0.3">
      <c r="A23" s="34">
        <v>5</v>
      </c>
      <c r="B23" s="34">
        <f>IF('חישובי עזר '!$B$5&gt;=פריסה!A23,B22-1,"לא רלוונטי")</f>
        <v>2014</v>
      </c>
      <c r="C23" s="45">
        <v>0</v>
      </c>
      <c r="D23" s="45">
        <f t="shared" si="0"/>
        <v>156000</v>
      </c>
      <c r="E23" s="45"/>
    </row>
    <row r="24" spans="1:7" x14ac:dyDescent="0.3">
      <c r="A24" s="34">
        <v>6</v>
      </c>
      <c r="B24" s="34">
        <f>IF('חישובי עזר '!$B$5&gt;=פריסה!A24,B23-1,"לא רלוונטי")</f>
        <v>2013</v>
      </c>
      <c r="C24" s="45">
        <v>0</v>
      </c>
      <c r="D24" s="45">
        <f t="shared" si="0"/>
        <v>156000</v>
      </c>
      <c r="E24" s="45"/>
    </row>
    <row r="27" spans="1:7" x14ac:dyDescent="0.3">
      <c r="A27" s="10" t="s">
        <v>43</v>
      </c>
    </row>
    <row r="29" spans="1:7" x14ac:dyDescent="0.3">
      <c r="B29" s="25" t="s">
        <v>14</v>
      </c>
      <c r="C29" s="25" t="s">
        <v>9</v>
      </c>
      <c r="D29" s="25" t="s">
        <v>44</v>
      </c>
      <c r="E29" s="25" t="s">
        <v>23</v>
      </c>
    </row>
    <row r="30" spans="1:7" x14ac:dyDescent="0.3">
      <c r="B30" s="25"/>
      <c r="C30" s="25"/>
      <c r="D30" s="25"/>
      <c r="E30" s="25"/>
    </row>
    <row r="31" spans="1:7" x14ac:dyDescent="0.3">
      <c r="A31" s="34">
        <v>1</v>
      </c>
      <c r="B31" s="34">
        <f>+'חישובי עזר '!B8</f>
        <v>2018</v>
      </c>
      <c r="C31" s="45"/>
      <c r="D31" s="45">
        <f>12000*11</f>
        <v>132000</v>
      </c>
      <c r="E31" s="45">
        <v>24000</v>
      </c>
    </row>
    <row r="32" spans="1:7" x14ac:dyDescent="0.3">
      <c r="A32" s="34">
        <v>2</v>
      </c>
      <c r="B32" s="34">
        <f>IF('חישובי עזר '!$C$4&gt;=פריסה!A32,B31+1,"לא רלוונטי")</f>
        <v>2019</v>
      </c>
      <c r="C32" s="45"/>
      <c r="D32" s="45">
        <f>12000*12</f>
        <v>144000</v>
      </c>
      <c r="E32" s="45">
        <v>24000</v>
      </c>
    </row>
    <row r="33" spans="1:7" x14ac:dyDescent="0.3">
      <c r="A33" s="34">
        <v>3</v>
      </c>
      <c r="B33" s="34">
        <f>IF('חישובי עזר '!$C$4&gt;=פריסה!A33,B32+1,"לא רלוונטי")</f>
        <v>2020</v>
      </c>
      <c r="C33" s="45"/>
      <c r="D33" s="45">
        <f t="shared" ref="D33:D36" si="1">12000*12</f>
        <v>144000</v>
      </c>
      <c r="E33" s="45">
        <v>24000</v>
      </c>
    </row>
    <row r="34" spans="1:7" x14ac:dyDescent="0.3">
      <c r="A34" s="34">
        <v>4</v>
      </c>
      <c r="B34" s="34">
        <f>IF('חישובי עזר '!$C$4&gt;=פריסה!A34,B33+1,"לא רלוונטי")</f>
        <v>2021</v>
      </c>
      <c r="C34" s="45"/>
      <c r="D34" s="45">
        <f t="shared" si="1"/>
        <v>144000</v>
      </c>
      <c r="E34" s="45">
        <v>24000</v>
      </c>
    </row>
    <row r="35" spans="1:7" x14ac:dyDescent="0.3">
      <c r="A35" s="34">
        <v>5</v>
      </c>
      <c r="B35" s="34">
        <f>IF('חישובי עזר '!$C$4&gt;=פריסה!A35,B34+1,"לא רלוונטי")</f>
        <v>2022</v>
      </c>
      <c r="C35" s="45"/>
      <c r="D35" s="45">
        <f t="shared" si="1"/>
        <v>144000</v>
      </c>
      <c r="E35" s="45">
        <v>24000</v>
      </c>
    </row>
    <row r="36" spans="1:7" x14ac:dyDescent="0.3">
      <c r="A36" s="34">
        <v>6</v>
      </c>
      <c r="B36" s="34">
        <f>IF('חישובי עזר '!$C$4&gt;=פריסה!A36,B35+1,"לא רלוונטי")</f>
        <v>2023</v>
      </c>
      <c r="C36" s="45"/>
      <c r="D36" s="45">
        <f t="shared" si="1"/>
        <v>144000</v>
      </c>
      <c r="E36" s="45">
        <v>24000</v>
      </c>
    </row>
    <row r="37" spans="1:7" x14ac:dyDescent="0.3">
      <c r="B37" s="25"/>
      <c r="C37" s="25"/>
      <c r="D37" s="25"/>
      <c r="E37" s="25"/>
    </row>
    <row r="38" spans="1:7" x14ac:dyDescent="0.3">
      <c r="G38" t="s">
        <v>67</v>
      </c>
    </row>
    <row r="39" spans="1:7" x14ac:dyDescent="0.3">
      <c r="A39" s="10" t="s">
        <v>56</v>
      </c>
    </row>
    <row r="41" spans="1:7" x14ac:dyDescent="0.3">
      <c r="A41" s="37" t="s">
        <v>57</v>
      </c>
      <c r="B41" s="37" t="s">
        <v>58</v>
      </c>
      <c r="C41" s="37" t="s">
        <v>59</v>
      </c>
      <c r="D41" s="37" t="s">
        <v>60</v>
      </c>
      <c r="E41" s="37" t="s">
        <v>61</v>
      </c>
      <c r="F41" s="37" t="s">
        <v>68</v>
      </c>
    </row>
    <row r="42" spans="1:7" x14ac:dyDescent="0.3">
      <c r="A42" s="38">
        <f>+'חישובי עזר '!B18</f>
        <v>6</v>
      </c>
      <c r="B42" s="36">
        <f>+E2</f>
        <v>180000</v>
      </c>
      <c r="C42" s="36">
        <f>+'חישובי עזר '!C18</f>
        <v>30000</v>
      </c>
      <c r="D42" s="36">
        <f>+'חישובי עזר '!H38</f>
        <v>37187.999999999993</v>
      </c>
      <c r="E42" s="36">
        <f>+'חישובי עזר '!H39</f>
        <v>36000</v>
      </c>
      <c r="F42" s="40">
        <f>+D42/$E$2</f>
        <v>0.20659999999999995</v>
      </c>
    </row>
    <row r="43" spans="1:7" x14ac:dyDescent="0.3">
      <c r="A43" s="35">
        <f>IF(A42-1&gt;0,+A42-1,"לא רלוונטי")</f>
        <v>5</v>
      </c>
      <c r="B43" s="36">
        <f>IF(A43="לא רלוונטי",0,$E$2)</f>
        <v>180000</v>
      </c>
      <c r="C43" s="36">
        <f>IF(B43&gt;0,'חישובי עזר '!C19,0)</f>
        <v>36000</v>
      </c>
      <c r="D43" s="36">
        <f>+'חישובי עזר '!H62</f>
        <v>39590.399999999994</v>
      </c>
      <c r="E43" s="36">
        <f>+'חישובי עזר '!H63</f>
        <v>36000</v>
      </c>
      <c r="F43" s="40">
        <f t="shared" ref="F43:F47" si="2">+D43/$E$2</f>
        <v>0.21994666666666662</v>
      </c>
    </row>
    <row r="44" spans="1:7" x14ac:dyDescent="0.3">
      <c r="A44" s="35">
        <f>IF(A42-2&gt;0,+A42-2,"לא רלוונטי")</f>
        <v>4</v>
      </c>
      <c r="B44" s="36">
        <f t="shared" ref="B44:B46" si="3">IF(A44="לא רלוונטי",0,$E$2)</f>
        <v>180000</v>
      </c>
      <c r="C44" s="36">
        <f>IF(B44&gt;0,'חישובי עזר '!C20,0)</f>
        <v>45000</v>
      </c>
      <c r="D44" s="36">
        <f>+'חישובי עזר '!H82</f>
        <v>42230.399999999994</v>
      </c>
      <c r="E44" s="36">
        <f>+'חישובי עזר '!H83</f>
        <v>36000</v>
      </c>
      <c r="F44" s="40">
        <f t="shared" si="2"/>
        <v>0.23461333333333331</v>
      </c>
    </row>
    <row r="45" spans="1:7" x14ac:dyDescent="0.3">
      <c r="A45" s="35">
        <f>IF(A42-3&gt;0,+A42-3,"לא רלוונטי")</f>
        <v>3</v>
      </c>
      <c r="B45" s="36">
        <f t="shared" si="3"/>
        <v>180000</v>
      </c>
      <c r="C45" s="36">
        <f>IF(B45&gt;0,'חישובי עזר '!C21,0)</f>
        <v>60000</v>
      </c>
      <c r="D45" s="36">
        <f>+'חישובי עזר '!H98</f>
        <v>45292.799999999996</v>
      </c>
      <c r="E45" s="36">
        <f>+'חישובי עזר '!H99</f>
        <v>37795.199999999997</v>
      </c>
      <c r="F45" s="40">
        <f t="shared" si="2"/>
        <v>0.25162666666666667</v>
      </c>
    </row>
    <row r="46" spans="1:7" x14ac:dyDescent="0.3">
      <c r="A46" s="35">
        <f>IF(A42-4&gt;0,+A42-4,"לא רלוונטי")</f>
        <v>2</v>
      </c>
      <c r="B46" s="36">
        <f t="shared" si="3"/>
        <v>180000</v>
      </c>
      <c r="C46" s="36">
        <f>IF(B46&gt;0,'חישובי עזר '!C22,0)</f>
        <v>90000</v>
      </c>
      <c r="D46" s="36">
        <f>+'חישובי עזר '!H110</f>
        <v>48355.199999999997</v>
      </c>
      <c r="E46" s="36">
        <f>+'חישובי עזר '!H111</f>
        <v>43075.199999999997</v>
      </c>
      <c r="F46" s="40">
        <f t="shared" si="2"/>
        <v>0.26863999999999999</v>
      </c>
    </row>
    <row r="47" spans="1:7" x14ac:dyDescent="0.3">
      <c r="A47" s="35">
        <f>IF(A42-5&gt;=0,+A42-5,"לא רלוונטי")</f>
        <v>1</v>
      </c>
      <c r="B47" s="36">
        <f>IF(A47="לא רלוונטי",0,$E$2)</f>
        <v>180000</v>
      </c>
      <c r="C47" s="36">
        <f>IF(B47&gt;0,'חישובי עזר '!C23,0)</f>
        <v>180000</v>
      </c>
      <c r="D47" s="36">
        <f>+'חישובי עזר '!H118</f>
        <v>54345.600000000006</v>
      </c>
      <c r="E47" s="36">
        <f>+'חישובי עזר '!H119</f>
        <v>50745.599999999999</v>
      </c>
      <c r="F47" s="40">
        <f t="shared" si="2"/>
        <v>0.30192000000000002</v>
      </c>
    </row>
  </sheetData>
  <sheetProtection password="C73F" sheet="1" objects="1" scenarios="1" selectLockedCells="1"/>
  <dataValidations disablePrompts="1" count="1">
    <dataValidation type="list" allowBlank="1" showInputMessage="1" showErrorMessage="1" sqref="B10 B12" xr:uid="{00000000-0002-0000-0200-000000000000}">
      <formula1>$V$2:$V$3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19"/>
  <sheetViews>
    <sheetView rightToLeft="1" topLeftCell="E99" workbookViewId="0">
      <selection activeCell="M118" sqref="M118"/>
    </sheetView>
  </sheetViews>
  <sheetFormatPr defaultRowHeight="14" x14ac:dyDescent="0.3"/>
  <cols>
    <col min="1" max="1" width="18.83203125" customWidth="1"/>
    <col min="2" max="2" width="9.83203125" bestFit="1" customWidth="1"/>
    <col min="10" max="10" width="12.58203125" customWidth="1"/>
    <col min="11" max="11" width="10.83203125" bestFit="1" customWidth="1"/>
    <col min="12" max="12" width="9.83203125" bestFit="1" customWidth="1"/>
  </cols>
  <sheetData>
    <row r="1" spans="1:40" x14ac:dyDescent="0.3">
      <c r="F1">
        <f>'נתונים כללים'!C13</f>
        <v>216</v>
      </c>
      <c r="G1">
        <f>פריסה!B14</f>
        <v>2.75</v>
      </c>
      <c r="H1">
        <f>G1*F1*12</f>
        <v>7128</v>
      </c>
    </row>
    <row r="2" spans="1:40" x14ac:dyDescent="0.3">
      <c r="A2" t="s">
        <v>36</v>
      </c>
      <c r="B2" s="33">
        <f>+פריסה!B6-פריסה!B4</f>
        <v>16162</v>
      </c>
      <c r="J2">
        <v>2017</v>
      </c>
      <c r="K2">
        <v>20171</v>
      </c>
      <c r="O2">
        <v>2016</v>
      </c>
      <c r="P2">
        <v>20161</v>
      </c>
      <c r="S2">
        <v>2015</v>
      </c>
      <c r="T2">
        <v>20151</v>
      </c>
      <c r="W2">
        <v>2014</v>
      </c>
      <c r="X2">
        <v>20141</v>
      </c>
      <c r="AA2">
        <v>2013</v>
      </c>
      <c r="AB2">
        <v>20131</v>
      </c>
      <c r="AE2">
        <v>2012</v>
      </c>
      <c r="AF2">
        <v>20121</v>
      </c>
      <c r="AI2">
        <v>2011</v>
      </c>
      <c r="AJ2">
        <v>20111</v>
      </c>
      <c r="AM2">
        <v>2010</v>
      </c>
      <c r="AN2">
        <v>20101</v>
      </c>
    </row>
    <row r="3" spans="1:40" x14ac:dyDescent="0.3">
      <c r="A3" t="s">
        <v>37</v>
      </c>
      <c r="B3" s="32">
        <f>+B2/365</f>
        <v>44.279452054794518</v>
      </c>
      <c r="C3" s="3">
        <f>ROUNDUP(B3,0)</f>
        <v>45</v>
      </c>
      <c r="J3" s="8">
        <f>+'נתונים כללים'!C5</f>
        <v>74640</v>
      </c>
      <c r="K3" s="6">
        <v>0.1</v>
      </c>
      <c r="L3" s="6"/>
      <c r="M3" s="6"/>
      <c r="N3" s="6"/>
      <c r="O3" s="8">
        <v>62640</v>
      </c>
      <c r="P3" s="6">
        <v>0.1</v>
      </c>
      <c r="Q3" s="6"/>
      <c r="R3" s="6"/>
      <c r="S3" s="8">
        <v>63240</v>
      </c>
      <c r="T3" s="6">
        <v>0.1</v>
      </c>
      <c r="U3" s="6"/>
      <c r="V3" s="6"/>
      <c r="W3" s="8">
        <v>63360</v>
      </c>
      <c r="X3" s="6">
        <v>0.1</v>
      </c>
      <c r="Y3" s="6"/>
      <c r="Z3" s="6"/>
      <c r="AA3" s="8">
        <v>63360</v>
      </c>
      <c r="AB3" s="6">
        <v>0.1</v>
      </c>
      <c r="AC3" s="6"/>
      <c r="AD3" s="6"/>
      <c r="AE3" s="8">
        <v>62400</v>
      </c>
      <c r="AF3" s="6">
        <v>0.1</v>
      </c>
      <c r="AG3" s="6"/>
      <c r="AH3" s="6"/>
      <c r="AI3" s="8">
        <v>60840</v>
      </c>
      <c r="AJ3" s="6">
        <v>0.1</v>
      </c>
      <c r="AK3" s="6"/>
      <c r="AL3" s="6"/>
      <c r="AM3" s="8">
        <v>57240</v>
      </c>
      <c r="AN3" s="6">
        <v>0.1</v>
      </c>
    </row>
    <row r="4" spans="1:40" x14ac:dyDescent="0.3">
      <c r="A4" t="s">
        <v>38</v>
      </c>
      <c r="B4" s="32" t="str">
        <f>FIXED(E4,0)</f>
        <v>11</v>
      </c>
      <c r="C4" s="33">
        <f>+B4+N(B4)</f>
        <v>11</v>
      </c>
      <c r="D4">
        <f>IF(C4&gt;6,6,C4)</f>
        <v>6</v>
      </c>
      <c r="E4">
        <f>+B3/4</f>
        <v>11.06986301369863</v>
      </c>
      <c r="J4" s="8">
        <f>+'נתונים כללים'!C6</f>
        <v>107040</v>
      </c>
      <c r="K4" s="6">
        <v>0.14000000000000001</v>
      </c>
      <c r="L4" s="6"/>
      <c r="M4" s="6"/>
      <c r="N4" s="6"/>
      <c r="O4" s="8">
        <v>107040</v>
      </c>
      <c r="P4" s="6">
        <v>0.14000000000000001</v>
      </c>
      <c r="Q4" s="6"/>
      <c r="R4" s="6"/>
      <c r="S4" s="8">
        <v>108000</v>
      </c>
      <c r="T4" s="6">
        <v>0.14000000000000001</v>
      </c>
      <c r="U4" s="6"/>
      <c r="V4" s="6"/>
      <c r="W4" s="8">
        <v>108120</v>
      </c>
      <c r="X4" s="6">
        <v>0.14000000000000001</v>
      </c>
      <c r="Y4" s="6"/>
      <c r="Z4" s="6"/>
      <c r="AA4" s="8">
        <v>108120</v>
      </c>
      <c r="AB4" s="6">
        <v>0.14000000000000001</v>
      </c>
      <c r="AC4" s="6"/>
      <c r="AD4" s="6"/>
      <c r="AE4" s="8">
        <v>106560</v>
      </c>
      <c r="AF4" s="6">
        <v>0.14000000000000001</v>
      </c>
      <c r="AG4" s="6"/>
      <c r="AH4" s="6"/>
      <c r="AI4" s="8">
        <v>103920</v>
      </c>
      <c r="AJ4" s="6">
        <v>0.14000000000000001</v>
      </c>
      <c r="AK4" s="6"/>
      <c r="AL4" s="6"/>
      <c r="AM4" s="8">
        <v>101640</v>
      </c>
      <c r="AN4" s="6">
        <v>0.14000000000000001</v>
      </c>
    </row>
    <row r="5" spans="1:40" x14ac:dyDescent="0.3">
      <c r="A5" t="s">
        <v>39</v>
      </c>
      <c r="B5" s="25">
        <f>IF(C3&gt;=6,6,C3)</f>
        <v>6</v>
      </c>
      <c r="J5" s="8">
        <f>+'נתונים כללים'!C7</f>
        <v>171840</v>
      </c>
      <c r="K5" s="6">
        <v>0.2</v>
      </c>
      <c r="L5" s="6"/>
      <c r="M5" s="6"/>
      <c r="N5" s="6"/>
      <c r="O5" s="8">
        <v>166320</v>
      </c>
      <c r="P5" s="6">
        <v>0.21</v>
      </c>
      <c r="Q5" s="6"/>
      <c r="R5" s="6"/>
      <c r="S5" s="8">
        <v>167880</v>
      </c>
      <c r="T5" s="6">
        <v>0.21</v>
      </c>
      <c r="U5" s="6"/>
      <c r="V5" s="6"/>
      <c r="W5" s="8">
        <v>168000</v>
      </c>
      <c r="X5" s="6">
        <v>0.21</v>
      </c>
      <c r="Y5" s="6"/>
      <c r="Z5" s="6"/>
      <c r="AA5" s="8">
        <v>168000</v>
      </c>
      <c r="AB5" s="6">
        <v>0.21</v>
      </c>
      <c r="AC5" s="6"/>
      <c r="AD5" s="6"/>
      <c r="AE5" s="8">
        <v>173160</v>
      </c>
      <c r="AF5" s="6">
        <v>0.21</v>
      </c>
      <c r="AG5" s="6"/>
      <c r="AH5" s="6"/>
      <c r="AI5" s="8">
        <v>168840</v>
      </c>
      <c r="AJ5" s="6">
        <v>0.23</v>
      </c>
      <c r="AK5" s="6"/>
      <c r="AL5" s="6"/>
      <c r="AM5" s="8">
        <v>152640</v>
      </c>
      <c r="AN5" s="6">
        <v>0.23</v>
      </c>
    </row>
    <row r="6" spans="1:40" x14ac:dyDescent="0.3">
      <c r="J6" s="8">
        <f>+'נתונים כללים'!C8</f>
        <v>238800</v>
      </c>
      <c r="K6" s="6">
        <v>0.31</v>
      </c>
      <c r="L6" s="6"/>
      <c r="M6" s="6"/>
      <c r="N6" s="6"/>
      <c r="O6" s="8">
        <v>238800</v>
      </c>
      <c r="P6" s="6">
        <v>0.31</v>
      </c>
      <c r="Q6" s="6"/>
      <c r="R6" s="6"/>
      <c r="S6" s="8">
        <v>239760</v>
      </c>
      <c r="T6" s="6">
        <v>0.31</v>
      </c>
      <c r="U6" s="6"/>
      <c r="V6" s="6"/>
      <c r="W6" s="8">
        <v>240000</v>
      </c>
      <c r="X6" s="6">
        <v>0.31</v>
      </c>
      <c r="Y6" s="6"/>
      <c r="Z6" s="6"/>
      <c r="AA6" s="8">
        <v>240000</v>
      </c>
      <c r="AB6" s="6">
        <v>0.31</v>
      </c>
      <c r="AC6" s="6"/>
      <c r="AD6" s="6"/>
      <c r="AE6" s="8">
        <v>261360</v>
      </c>
      <c r="AF6" s="6">
        <v>0.3</v>
      </c>
      <c r="AG6" s="6"/>
      <c r="AH6" s="6"/>
      <c r="AI6" s="8">
        <v>254880</v>
      </c>
      <c r="AJ6" s="6">
        <v>0.3</v>
      </c>
      <c r="AK6" s="6"/>
      <c r="AL6" s="6"/>
      <c r="AM6" s="8">
        <v>219000</v>
      </c>
      <c r="AN6" s="6">
        <v>0.3</v>
      </c>
    </row>
    <row r="7" spans="1:40" x14ac:dyDescent="0.3">
      <c r="A7" t="s">
        <v>40</v>
      </c>
      <c r="B7">
        <f>YEAR(פריסה!B6)</f>
        <v>2018</v>
      </c>
      <c r="J7" s="8">
        <f>+'נתונים כללים'!C9</f>
        <v>496920</v>
      </c>
      <c r="K7" s="6">
        <v>0.35</v>
      </c>
      <c r="L7" s="6"/>
      <c r="M7" s="6"/>
      <c r="N7" s="6"/>
      <c r="O7" s="8">
        <v>496920</v>
      </c>
      <c r="P7" s="6">
        <v>0.34</v>
      </c>
      <c r="Q7" s="6"/>
      <c r="R7" s="6"/>
      <c r="S7" s="8">
        <v>501480</v>
      </c>
      <c r="T7" s="6">
        <v>0.34</v>
      </c>
      <c r="U7" s="6"/>
      <c r="V7" s="6"/>
      <c r="W7" s="8">
        <v>501960</v>
      </c>
      <c r="X7" s="6">
        <v>0.34</v>
      </c>
      <c r="Y7" s="6"/>
      <c r="Z7" s="6"/>
      <c r="AA7" s="8">
        <v>501960</v>
      </c>
      <c r="AB7" s="6">
        <v>0.34</v>
      </c>
      <c r="AC7" s="6"/>
      <c r="AD7" s="6"/>
      <c r="AE7" s="8">
        <v>501960</v>
      </c>
      <c r="AF7" s="6">
        <v>0.33</v>
      </c>
      <c r="AG7" s="6"/>
      <c r="AH7" s="6"/>
      <c r="AI7" s="8">
        <v>482760</v>
      </c>
      <c r="AJ7" s="6">
        <v>0.33</v>
      </c>
      <c r="AK7" s="6"/>
      <c r="AL7" s="6"/>
      <c r="AM7" s="8">
        <v>472080</v>
      </c>
      <c r="AN7" s="6">
        <v>0.33</v>
      </c>
    </row>
    <row r="8" spans="1:40" x14ac:dyDescent="0.3">
      <c r="A8" t="s">
        <v>41</v>
      </c>
      <c r="B8">
        <f>IF(פריסה!B10="כן",IF(פריסה!B12="כן",1+YEAR(פריסה!B6 ),YEAR(פריסה!B6)),YEAR(פריסה!B6))</f>
        <v>2018</v>
      </c>
      <c r="J8" s="8">
        <f>+'נתונים כללים'!C10</f>
        <v>639996</v>
      </c>
      <c r="K8" s="6">
        <v>0.47</v>
      </c>
      <c r="L8" s="6"/>
      <c r="M8" s="6"/>
      <c r="N8" s="6"/>
      <c r="O8" s="8">
        <v>803520</v>
      </c>
      <c r="P8" s="6">
        <v>0.48</v>
      </c>
      <c r="Q8" s="6"/>
      <c r="R8" s="6"/>
      <c r="S8" s="8">
        <v>810720</v>
      </c>
      <c r="T8" s="6">
        <v>0.48</v>
      </c>
      <c r="U8" s="6"/>
      <c r="V8" s="6"/>
      <c r="W8" s="8">
        <v>811560</v>
      </c>
      <c r="X8" s="6">
        <v>0.48</v>
      </c>
      <c r="Y8" s="6"/>
      <c r="Z8" s="6"/>
      <c r="AA8" s="8">
        <v>811560</v>
      </c>
      <c r="AB8" s="6">
        <v>0.48</v>
      </c>
      <c r="AC8" s="6"/>
      <c r="AD8" s="6"/>
      <c r="AE8" s="8">
        <v>501960</v>
      </c>
      <c r="AF8" s="6">
        <v>0.48</v>
      </c>
      <c r="AG8" s="6"/>
      <c r="AH8" s="6"/>
      <c r="AI8" s="8">
        <v>482760</v>
      </c>
      <c r="AJ8" s="6">
        <v>0.45</v>
      </c>
      <c r="AK8" s="6"/>
      <c r="AL8" s="6"/>
      <c r="AM8" s="8">
        <v>472080</v>
      </c>
      <c r="AN8" s="6">
        <v>0.45</v>
      </c>
    </row>
    <row r="9" spans="1:40" x14ac:dyDescent="0.3">
      <c r="J9" s="8">
        <f>+'נתונים כללים'!C11</f>
        <v>639996</v>
      </c>
      <c r="K9" s="6">
        <v>0.5</v>
      </c>
      <c r="L9" s="6"/>
      <c r="M9" s="6"/>
      <c r="N9" s="6"/>
      <c r="O9" s="8">
        <v>803520</v>
      </c>
      <c r="P9" s="6">
        <v>0.5</v>
      </c>
      <c r="Q9" s="6"/>
      <c r="R9" s="6"/>
      <c r="S9" s="8">
        <v>810720</v>
      </c>
      <c r="T9" s="6">
        <v>0.5</v>
      </c>
      <c r="U9" s="6"/>
      <c r="V9" s="6"/>
      <c r="W9" s="8">
        <v>811560</v>
      </c>
      <c r="X9" s="6">
        <v>0.5</v>
      </c>
      <c r="Y9" s="6"/>
      <c r="Z9" s="6"/>
      <c r="AA9" s="8">
        <v>811560</v>
      </c>
      <c r="AB9" s="6">
        <v>0.5</v>
      </c>
      <c r="AC9" s="6"/>
      <c r="AD9" s="6"/>
      <c r="AE9" s="8"/>
      <c r="AF9" s="6"/>
      <c r="AG9" s="6"/>
      <c r="AH9" s="6"/>
      <c r="AI9" s="8"/>
      <c r="AJ9" s="6"/>
      <c r="AK9" s="6"/>
      <c r="AL9" s="6"/>
      <c r="AM9" s="8"/>
      <c r="AN9" s="6"/>
    </row>
    <row r="10" spans="1:40" x14ac:dyDescent="0.3">
      <c r="A10" t="s">
        <v>47</v>
      </c>
      <c r="K10">
        <v>216</v>
      </c>
      <c r="P10">
        <v>216</v>
      </c>
      <c r="T10">
        <v>218</v>
      </c>
      <c r="X10">
        <v>218</v>
      </c>
      <c r="AB10">
        <v>218</v>
      </c>
      <c r="AF10">
        <v>215</v>
      </c>
      <c r="AJ10">
        <v>209</v>
      </c>
      <c r="AN10">
        <v>205</v>
      </c>
    </row>
    <row r="11" spans="1:40" x14ac:dyDescent="0.3">
      <c r="A11" s="25">
        <v>1</v>
      </c>
      <c r="B11">
        <f>+פריסה!$E$2/'חישובי עזר '!A11</f>
        <v>180000</v>
      </c>
    </row>
    <row r="12" spans="1:40" x14ac:dyDescent="0.3">
      <c r="A12" s="25">
        <v>2</v>
      </c>
      <c r="B12">
        <f>+פריסה!$E$2/'חישובי עזר '!A12</f>
        <v>90000</v>
      </c>
    </row>
    <row r="13" spans="1:40" x14ac:dyDescent="0.3">
      <c r="A13" s="25">
        <v>3</v>
      </c>
      <c r="B13">
        <f>+פריסה!$E$2/'חישובי עזר '!A13</f>
        <v>60000</v>
      </c>
      <c r="F13">
        <f>+פריסה!B31</f>
        <v>2018</v>
      </c>
      <c r="G13" s="46" t="s">
        <v>49</v>
      </c>
      <c r="I13">
        <f>+IF(F13&gt;F25,"לא רלוונטי",פריסה!$B$31)</f>
        <v>2018</v>
      </c>
      <c r="J13" s="3" t="s">
        <v>50</v>
      </c>
      <c r="K13" s="8">
        <f>IF(I13="לא רלוונטי",0,+פריסה!$D$31+פריסה!$C$31)</f>
        <v>132000</v>
      </c>
      <c r="L13" s="8">
        <f>IF(K13&lt;=$J$3,K13*$K$3,IF(K13&lt;=$J$4,(K13-$J$3)*$K$4+$J$3*$K$3,IF(K13&lt;=$J$5,(K13-$J$4)*$K$5+($J$4-$J$3)*$K$4+$J$3*$K$3,IF(K13&lt;=$J$6,(K13-$J$5)*$K$6+($J$5-$J$4)*$K$5+($J$4-$J$3)*$K$4+$J$3*$K$3,IF(K13&lt;=$J$7,(K13-$J$6)*$K$7+($J$6-$J$5)*$K$6+($J$5-$J$4)*$K$5+($J$4-$J$3)*$K$4+$J$3*$K$3,IF(K13&lt;=$J$8,(K13-$J$7)*$K$8+($J$7-$J$6)*$K$7+($J$6-$J$5)*$K$6+($J$5-$J$4)*$K$5+($J$4-$J$3)*$K$4+$J$3*$K$3,(K13-$J$8)*$K$9+($J$8-$J$7)*$K$8+($J$7-$J$6)*$K$7+($J$6-$J$5)*$K$6+($J$5-$J$4)*$K$5+($J$4-$J$3)*$K$4+$J$3*$K$3))))))</f>
        <v>16992</v>
      </c>
      <c r="M13" s="8">
        <f>L13-$H$1</f>
        <v>9864</v>
      </c>
      <c r="N13" s="8">
        <f>IF(M13&gt;0,M13,0)</f>
        <v>9864</v>
      </c>
      <c r="O13" s="8"/>
      <c r="S13">
        <f>IF(R13&lt;=S3,R13*T3,IF(R13&lt;=S4,(R13-S3)*T4+S3*T3,IF(R13&lt;=S5,(R13-S4)*T5+(S4-S3)*T4+S3*T3,IF(R13&lt;=S6,(R13-S5)*T6+(S5-S4)*T5+(S4-S3)*T4+S3*T3,IF(R13&lt;=S7,(R13-S6)*T7+(S6-S5)*T6+(S5-S4)*T5+(S4-S3)*T4+S3*T3,IF(R13&lt;=S8,(R13-S7)*T8+(S7-S6)*T7+(S6-S5)*T6+(S5-S4)*T5+(S4-S3)*T4+S3*T3,(R13-S8)*T9+(S8-S7)*T8+(S7-S6)*T7+(S6-S5)*T6+(S5-S4)*T5+(S4-S3)*T4+S3*T3))))))</f>
        <v>0</v>
      </c>
      <c r="W13">
        <f>IF(V13&lt;=W3,V13*X3,IF(V13&lt;=W4,(V13-W3)*X4+W3*X3,IF(V13&lt;=W5,(V13-W4)*X5+(W4-W3)*X4+W3*X3,IF(V13&lt;=W6,(V13-W5)*X6+(W5-W4)*X5+(W4-W3)*X4+W3*X3,IF(V13&lt;=W7,(V13-W6)*X7+(W6-W5)*X6+(W5-W4)*X5+(W4-W3)*X4+W3*X3,IF(V13&lt;=W8,(V13-W7)*X8+(W7-W6)*X7+(W6-W5)*X6+(W5-W4)*X5+(W4-W3)*X4+W3*X3,(V13-W8)*X9+(W8-W7)*X8+(W7-W6)*X7+(W6-W5)*X6+(W5-W4)*X5+(W4-W3)*X4+W3*X3))))))</f>
        <v>0</v>
      </c>
      <c r="AA13">
        <f>IF(Z13&lt;=AA3,Z13*AB3,IF(Z13&lt;=AA4,(Z13-AA3)*AB4+AA3*AB3,IF(Z13&lt;=AA5,(Z13-AA4)*AB5+(AA4-AA3)*AB4+AA3*AB3,IF(Z13&lt;=AA6,(Z13-AA5)*AB6+(AA5-AA4)*AB5+(AA4-AA3)*AB4+AA3*AB3,IF(Z13&lt;=AA7,(Z13-AA6)*AB7+(AA6-AA5)*AB6+(AA5-AA4)*AB5+(AA4-AA3)*AB4+AA3*AB3,IF(Z13&lt;=AA8,(Z13-AA7)*AB8+(AA7-AA6)*AB7+(AA6-AA5)*AB6+(AA5-AA4)*AB5+(AA4-AA3)*AB4+AA3*AB3,(Z13-AA8)*AB9+(AA8-AA7)*AB8+(AA7-AA6)*AB7+(AA6-AA5)*AB6+(AA5-AA4)*AB5+(AA4-AA3)*AB4+AA3*AB3))))))</f>
        <v>0</v>
      </c>
      <c r="AD13">
        <v>720000</v>
      </c>
      <c r="AE13">
        <f>IF(AD13&lt;=AE3,AD13*AF3,IF(AD13&lt;=AE4,(AD13-AE3)*AF4+AE3*AF3,IF(AD13&lt;=AE5,(AD13-AE4)*AF5+(AE4-AE3)*AF4+AE3*AF3,IF(AD13&lt;=AE6,(AD13-AE5)*AF6+(AE5-AE4)*AF5+(AE4-AE3)*AF4+AE3*AF3,IF(AD13&lt;=AE7,(AD13-AE6)*AF7+(AE6-AE5)*AF6+(AE5-AE4)*AF5+(AE4-AE3)*AF4+AE3*AF3,(AD13-AE7)*AF8+(AE7-AE6)*AF7+(AE6-AE5)*AF6+(AE5-AE4)*AF5+(AE4-AE3)*AF4+AE3*AF3)))))</f>
        <v>236925.6</v>
      </c>
      <c r="AI13">
        <f>IF(AH13&lt;=AI3,AH13*AJ3,IF(AH13&lt;=AI4,(AH13-AI3)*AJ4+AI3*AJ3,IF(AH13&lt;=AI5,(AH13-AI4)*AJ5+(AI4-AI3)*AJ4+AI3*AJ3,IF(AH13&lt;=AI6,(AH13-AI5)*AJ6+(AI5-AI4)*AJ5+(AI4-AI3)*AJ4+AI3*AJ3,IF(AH13&lt;=AI7,(AH13-AI6)*AJ7+(AI6-AI5)*AJ6+(AI5-AI4)*AJ5+(AI4-AI3)*AJ4+AI3*AJ3,(AH13-AI7)*AJ8+(AI7-AI6)*AJ7+(AI6-AI5)*AJ6+(AI5-AI4)*AJ5+(AI4-AI3)*AJ4+AI3*AJ3)))))</f>
        <v>0</v>
      </c>
      <c r="AM13">
        <f>IF(AL13&lt;=AM3,AL13*AN3,IF(AL13&lt;=AM4,(AL13-AM3)*AN4+AM3*AN3,IF(AL13&lt;=AM5,(AL13-AM4)*AN5+(AM4-AM3)*AN4+AM3*AN3,IF(AL13&lt;=AM6,(AL13-AM5)*AN6+(AM5-AM4)*AN5+(AM4-AM3)*AN4+AM3*AN3,IF(AL13&lt;=AM7,(AL13-AM6)*AN7+(AM6-AM5)*AN6+(AM5-AM4)*AN5+(AM4-AM3)*AN4+AM3*AN3,(AL13-AM7)*AN8+(AM7-AM6)*AN7+(AM6-AM5)*AN6+(AM5-AM4)*AN5+(AM4-AM3)*AN4+AM3*AN3)))))</f>
        <v>0</v>
      </c>
    </row>
    <row r="14" spans="1:40" x14ac:dyDescent="0.3">
      <c r="A14" s="25">
        <v>4</v>
      </c>
      <c r="B14">
        <f>+פריסה!$E$2/'חישובי עזר '!A14</f>
        <v>45000</v>
      </c>
      <c r="G14" s="46"/>
      <c r="I14">
        <f>+I13</f>
        <v>2018</v>
      </c>
      <c r="J14" t="s">
        <v>51</v>
      </c>
      <c r="K14" s="8">
        <f>IF(I14="לא רלוונטי",0,+פריסה!$D$31+פריסה!$C$31-פריסה!$E$31)</f>
        <v>108000</v>
      </c>
      <c r="L14" s="8">
        <f t="shared" ref="L14:L36" si="0">IF(K14&lt;=$J$3,K14*$K$3,IF(K14&lt;=$J$4,(K14-$J$3)*$K$4+$J$3*$K$3,IF(K14&lt;=$J$5,(K14-$J$4)*$K$5+($J$4-$J$3)*$K$4+$J$3*$K$3,IF(K14&lt;=$J$6,(K14-$J$5)*$K$6+($J$5-$J$4)*$K$5+($J$4-$J$3)*$K$4+$J$3*$K$3,IF(K14&lt;=$J$7,(K14-$J$6)*$K$7+($J$6-$J$5)*$K$6+($J$5-$J$4)*$K$5+($J$4-$J$3)*$K$4+$J$3*$K$3,IF(K14&lt;=$J$8,(K14-$J$7)*$K$8+($J$7-$J$6)*$K$7+($J$6-$J$5)*$K$6+($J$5-$J$4)*$K$5+($J$4-$J$3)*$K$4+$J$3*$K$3,(K14-$J$8)*$K$9+($J$8-$J$7)*$K$8+($J$7-$J$6)*$K$7+($J$6-$J$5)*$K$6+($J$5-$J$4)*$K$5+($J$4-$J$3)*$K$4+$J$3*$K$3))))))</f>
        <v>12192</v>
      </c>
      <c r="M14" s="8">
        <f t="shared" ref="M14:M36" si="1">L14-$H$1</f>
        <v>5064</v>
      </c>
      <c r="N14" s="8">
        <f t="shared" ref="N14:N36" si="2">IF(M14&gt;0,M14,0)</f>
        <v>5064</v>
      </c>
    </row>
    <row r="15" spans="1:40" x14ac:dyDescent="0.3">
      <c r="A15" s="25">
        <v>5</v>
      </c>
      <c r="B15">
        <f>+פריסה!$E$2/'חישובי עזר '!A15</f>
        <v>36000</v>
      </c>
      <c r="G15" s="46"/>
      <c r="H15" s="9">
        <f>+N15-N13</f>
        <v>6000</v>
      </c>
      <c r="I15">
        <f>+I14</f>
        <v>2018</v>
      </c>
      <c r="J15" t="s">
        <v>52</v>
      </c>
      <c r="K15" s="8">
        <f>IF(I15="לא רלוונטי",0,+פריסה!$D$31+פריסה!$C$31+C18)</f>
        <v>162000</v>
      </c>
      <c r="L15" s="8">
        <f>IF(K15&lt;=$J$3,K15*$K$3,IF(K15&lt;=$J$4,(K15-$J$3)*$K$4+$J$3*$K$3,IF(K15&lt;=$J$5,(K15-$J$4)*$K$5+($J$4-$J$3)*$K$4+$J$3*$K$3,IF(K15&lt;=$J$6,(K15-$J$5)*$K$6+($J$5-$J$4)*$K$5+($J$4-$J$3)*$K$4+$J$3*$K$3,IF(K15&lt;=$J$7,(K15-$J$6)*$K$7+($J$6-$J$5)*$K$6+($J$5-$J$4)*$K$5+($J$4-$J$3)*$K$4+$J$3*$K$3,IF(K15&lt;=$J$8,(K15-$J$7)*$K$8+($J$7-$J$6)*$K$7+($J$6-$J$5)*$K$6+($J$5-$J$4)*$K$5+($J$4-$J$3)*$K$4+$J$3*$K$3,(K15-$J$8)*$K$9+($J$8-$J$7)*$K$8+($J$7-$J$6)*$K$7+($J$6-$J$5)*$K$6+($J$5-$J$4)*$K$5+($J$4-$J$3)*$K$4+$J$3*$K$3))))))</f>
        <v>22992</v>
      </c>
      <c r="M15" s="8">
        <f t="shared" si="1"/>
        <v>15864</v>
      </c>
      <c r="N15" s="8">
        <f t="shared" si="2"/>
        <v>15864</v>
      </c>
    </row>
    <row r="16" spans="1:40" x14ac:dyDescent="0.3">
      <c r="A16" s="25">
        <v>6</v>
      </c>
      <c r="B16">
        <f>+פריסה!$E$2/'חישובי עזר '!A16</f>
        <v>30000</v>
      </c>
      <c r="G16" s="46"/>
      <c r="H16" s="9">
        <f>+N16-N14</f>
        <v>6000</v>
      </c>
      <c r="I16">
        <f>+I15</f>
        <v>2018</v>
      </c>
      <c r="J16" t="s">
        <v>53</v>
      </c>
      <c r="K16" s="8">
        <f>IF(I16="לא רלוונטי",0,+פריסה!$D$31+פריסה!$C$31+C18-פריסה!$E$31)</f>
        <v>138000</v>
      </c>
      <c r="L16" s="8">
        <f>IF(K16&lt;=$J$3,K16*$K$3,IF(K16&lt;=$J$4,(K16-$J$3)*$K$4+$J$3*$K$3,IF(K16&lt;=$J$5,(K16-$J$4)*$K$5+($J$4-$J$3)*$K$4+$J$3*$K$3,IF(K16&lt;=$J$6,(K16-$J$5)*$K$6+($J$5-$J$4)*$K$5+($J$4-$J$3)*$K$4+$J$3*$K$3,IF(K16&lt;=$J$7,(K16-$J$6)*$K$7+($J$6-$J$5)*$K$6+($J$5-$J$4)*$K$5+($J$4-$J$3)*$K$4+$J$3*$K$3,IF(K16&lt;=$J$8,(K16-$J$7)*$K$8+($J$7-$J$6)*$K$7+($J$6-$J$5)*$K$6+($J$5-$J$4)*$K$5+($J$4-$J$3)*$K$4+$J$3*$K$3,(K16-$J$8)*$K$9+($J$8-$J$7)*$K$8+($J$7-$J$6)*$K$7+($J$6-$J$5)*$K$6+($J$5-$J$4)*$K$5+($J$4-$J$3)*$K$4+$J$3*$K$3))))))</f>
        <v>18192</v>
      </c>
      <c r="M16" s="8">
        <f t="shared" si="1"/>
        <v>11064</v>
      </c>
      <c r="N16" s="8">
        <f t="shared" si="2"/>
        <v>11064</v>
      </c>
    </row>
    <row r="17" spans="1:26" x14ac:dyDescent="0.3">
      <c r="G17" s="46"/>
      <c r="I17">
        <f>+IF(פריסה!$B$32&gt;F25,"לא רלוונטי",פריסה!$B$32)</f>
        <v>2019</v>
      </c>
      <c r="J17" s="3" t="s">
        <v>50</v>
      </c>
      <c r="K17" s="8">
        <f>IF(I17="לא רלוונטי",0,+פריסה!$D$32+פריסה!$C$32)</f>
        <v>144000</v>
      </c>
      <c r="L17" s="8">
        <f t="shared" si="0"/>
        <v>19392</v>
      </c>
      <c r="M17" s="8">
        <f t="shared" si="1"/>
        <v>12264</v>
      </c>
      <c r="N17" s="8">
        <f t="shared" si="2"/>
        <v>12264</v>
      </c>
    </row>
    <row r="18" spans="1:26" x14ac:dyDescent="0.3">
      <c r="A18" t="s">
        <v>48</v>
      </c>
      <c r="B18" s="33">
        <f>+D4</f>
        <v>6</v>
      </c>
      <c r="C18">
        <f>VLOOKUP(B18,$A$11:$B$16,2)</f>
        <v>30000</v>
      </c>
      <c r="G18" s="46"/>
      <c r="I18">
        <f>+I17</f>
        <v>2019</v>
      </c>
      <c r="J18" t="s">
        <v>51</v>
      </c>
      <c r="K18" s="8">
        <f>IF(I18="לא רלוונטי",0,+פריסה!$D$32+פריסה!$C$32-פריסה!$E$32)</f>
        <v>120000</v>
      </c>
      <c r="L18" s="8">
        <f t="shared" si="0"/>
        <v>14592</v>
      </c>
      <c r="M18" s="8">
        <f t="shared" si="1"/>
        <v>7464</v>
      </c>
      <c r="N18" s="8">
        <f t="shared" si="2"/>
        <v>7464</v>
      </c>
    </row>
    <row r="19" spans="1:26" x14ac:dyDescent="0.3">
      <c r="B19" s="25">
        <f>IF(B18-1&gt;=1,+B18-1,0)</f>
        <v>5</v>
      </c>
      <c r="C19">
        <f t="shared" ref="C19:C23" si="3">VLOOKUP(B19,$A$11:$B$16,2)</f>
        <v>36000</v>
      </c>
      <c r="G19" s="46"/>
      <c r="H19" s="9">
        <f>+N19-N17</f>
        <v>6237.5999999999985</v>
      </c>
      <c r="I19">
        <f>+I18</f>
        <v>2019</v>
      </c>
      <c r="J19" t="s">
        <v>52</v>
      </c>
      <c r="K19" s="8">
        <f>IF(I19="לא רלוונטי",0,+פריסה!$D$32+פריסה!$C$32+C18)</f>
        <v>174000</v>
      </c>
      <c r="L19" s="8">
        <f t="shared" si="0"/>
        <v>25629.599999999999</v>
      </c>
      <c r="M19" s="8">
        <f t="shared" si="1"/>
        <v>18501.599999999999</v>
      </c>
      <c r="N19" s="8">
        <f t="shared" si="2"/>
        <v>18501.599999999999</v>
      </c>
    </row>
    <row r="20" spans="1:26" x14ac:dyDescent="0.3">
      <c r="B20" s="25">
        <f t="shared" ref="B20:B23" si="4">IF(B19-1&gt;=1,+B19-1,0)</f>
        <v>4</v>
      </c>
      <c r="C20">
        <f t="shared" si="3"/>
        <v>45000</v>
      </c>
      <c r="G20" s="46"/>
      <c r="H20" s="9">
        <f>+N20-N18</f>
        <v>6000</v>
      </c>
      <c r="I20">
        <f>+I17</f>
        <v>2019</v>
      </c>
      <c r="J20" t="s">
        <v>53</v>
      </c>
      <c r="K20" s="8">
        <f>IF(I20="לא רלוונטי",0,+פריסה!$D$32+פריסה!$C$32+C18-פריסה!$E$32)</f>
        <v>150000</v>
      </c>
      <c r="L20" s="8">
        <f t="shared" si="0"/>
        <v>20592</v>
      </c>
      <c r="M20" s="8">
        <f t="shared" si="1"/>
        <v>13464</v>
      </c>
      <c r="N20" s="8">
        <f t="shared" si="2"/>
        <v>13464</v>
      </c>
    </row>
    <row r="21" spans="1:26" x14ac:dyDescent="0.3">
      <c r="B21" s="25">
        <f t="shared" si="4"/>
        <v>3</v>
      </c>
      <c r="C21">
        <f t="shared" si="3"/>
        <v>60000</v>
      </c>
      <c r="G21" s="46"/>
      <c r="I21">
        <f>+IF(פריסה!$B$33&gt;F25,"לא רלוונטי",פריסה!$B$33)</f>
        <v>2020</v>
      </c>
      <c r="J21" s="3" t="s">
        <v>50</v>
      </c>
      <c r="K21" s="8">
        <f>IF(I21="לא רלוונטי",0,+פריסה!$D$33+פריסה!$C$33)</f>
        <v>144000</v>
      </c>
      <c r="L21" s="8">
        <f t="shared" si="0"/>
        <v>19392</v>
      </c>
      <c r="M21" s="8">
        <f t="shared" si="1"/>
        <v>12264</v>
      </c>
      <c r="N21" s="8">
        <f t="shared" si="2"/>
        <v>12264</v>
      </c>
    </row>
    <row r="22" spans="1:26" x14ac:dyDescent="0.3">
      <c r="B22" s="25">
        <f t="shared" si="4"/>
        <v>2</v>
      </c>
      <c r="C22">
        <f t="shared" si="3"/>
        <v>90000</v>
      </c>
      <c r="G22" s="46"/>
      <c r="I22">
        <f>+I21</f>
        <v>2020</v>
      </c>
      <c r="J22" t="s">
        <v>51</v>
      </c>
      <c r="K22" s="8">
        <f>IF(I22="לא רלוונטי",0,+פריסה!$D$33+פריסה!$C$33-פריסה!$E$33)</f>
        <v>120000</v>
      </c>
      <c r="L22" s="8">
        <f t="shared" si="0"/>
        <v>14592</v>
      </c>
      <c r="M22" s="8">
        <f t="shared" si="1"/>
        <v>7464</v>
      </c>
      <c r="N22" s="8">
        <f t="shared" si="2"/>
        <v>7464</v>
      </c>
    </row>
    <row r="23" spans="1:26" x14ac:dyDescent="0.3">
      <c r="B23" s="25">
        <f t="shared" si="4"/>
        <v>1</v>
      </c>
      <c r="C23">
        <f t="shared" si="3"/>
        <v>180000</v>
      </c>
      <c r="G23" s="46"/>
      <c r="H23" s="9">
        <f>+N23-N21</f>
        <v>6237.5999999999985</v>
      </c>
      <c r="I23">
        <f t="shared" ref="I23:I24" si="5">+I22</f>
        <v>2020</v>
      </c>
      <c r="J23" t="s">
        <v>52</v>
      </c>
      <c r="K23" s="8">
        <f>IF(I23="לא רלוונטי",0,+פריסה!$D$33+פריסה!$C$33+C18)</f>
        <v>174000</v>
      </c>
      <c r="L23" s="8">
        <f t="shared" si="0"/>
        <v>25629.599999999999</v>
      </c>
      <c r="M23" s="8">
        <f t="shared" si="1"/>
        <v>18501.599999999999</v>
      </c>
      <c r="N23" s="8">
        <f t="shared" si="2"/>
        <v>18501.599999999999</v>
      </c>
    </row>
    <row r="24" spans="1:26" x14ac:dyDescent="0.3">
      <c r="B24" s="25"/>
      <c r="G24" s="46"/>
      <c r="H24" s="9">
        <f>+N24-N22</f>
        <v>6000</v>
      </c>
      <c r="I24">
        <f t="shared" si="5"/>
        <v>2020</v>
      </c>
      <c r="J24" t="s">
        <v>53</v>
      </c>
      <c r="K24" s="8">
        <f>IF(I24="לא רלוונטי",0,+פריסה!$D$33+פריסה!$C$33+C18-פריסה!$E$33)</f>
        <v>150000</v>
      </c>
      <c r="L24" s="8">
        <f t="shared" si="0"/>
        <v>20592</v>
      </c>
      <c r="M24" s="8">
        <f t="shared" si="1"/>
        <v>13464</v>
      </c>
      <c r="N24" s="8">
        <f t="shared" si="2"/>
        <v>13464</v>
      </c>
    </row>
    <row r="25" spans="1:26" x14ac:dyDescent="0.3">
      <c r="F25" s="13">
        <f>+F13+F26-1</f>
        <v>2023</v>
      </c>
      <c r="G25" s="46"/>
      <c r="I25">
        <f>+IF(פריסה!$B$34&gt;'חישובי עזר '!F25,"לא רלוונטי",פריסה!$B$34)</f>
        <v>2021</v>
      </c>
      <c r="J25" s="3" t="s">
        <v>50</v>
      </c>
      <c r="K25" s="8">
        <f>IF(I25="לא רלוונטי",0,+פריסה!$D$34+פריסה!$C$34)</f>
        <v>144000</v>
      </c>
      <c r="L25" s="8">
        <f t="shared" si="0"/>
        <v>19392</v>
      </c>
      <c r="M25" s="8">
        <f t="shared" si="1"/>
        <v>12264</v>
      </c>
      <c r="N25" s="8">
        <f t="shared" si="2"/>
        <v>12264</v>
      </c>
      <c r="Z25" s="9"/>
    </row>
    <row r="26" spans="1:26" x14ac:dyDescent="0.3">
      <c r="F26" s="13">
        <f>+B18</f>
        <v>6</v>
      </c>
      <c r="G26" s="46"/>
      <c r="I26">
        <f>+I25</f>
        <v>2021</v>
      </c>
      <c r="J26" t="s">
        <v>51</v>
      </c>
      <c r="K26" s="8">
        <f>IF(I26="לא רלוונטי",0,+פריסה!$D$34+פריסה!$C$34-פריסה!$E$34)</f>
        <v>120000</v>
      </c>
      <c r="L26" s="8">
        <f t="shared" si="0"/>
        <v>14592</v>
      </c>
      <c r="M26" s="8">
        <f t="shared" si="1"/>
        <v>7464</v>
      </c>
      <c r="N26" s="8">
        <f t="shared" si="2"/>
        <v>7464</v>
      </c>
      <c r="Z26" s="9"/>
    </row>
    <row r="27" spans="1:26" x14ac:dyDescent="0.3">
      <c r="G27" s="46"/>
      <c r="H27" s="9">
        <f>+N27-N25</f>
        <v>6237.5999999999985</v>
      </c>
      <c r="I27">
        <f t="shared" ref="I27:I28" si="6">+I26</f>
        <v>2021</v>
      </c>
      <c r="J27" t="s">
        <v>52</v>
      </c>
      <c r="K27" s="8">
        <f>IF(I27="לא רלוונטי",0,+פריסה!$D$34+פריסה!$C$34+C18)</f>
        <v>174000</v>
      </c>
      <c r="L27" s="8">
        <f t="shared" si="0"/>
        <v>25629.599999999999</v>
      </c>
      <c r="M27" s="8">
        <f t="shared" si="1"/>
        <v>18501.599999999999</v>
      </c>
      <c r="N27" s="8">
        <f t="shared" si="2"/>
        <v>18501.599999999999</v>
      </c>
      <c r="Z27" s="9"/>
    </row>
    <row r="28" spans="1:26" x14ac:dyDescent="0.3">
      <c r="G28" s="46"/>
      <c r="H28" s="9">
        <f>+N28-N26</f>
        <v>6000</v>
      </c>
      <c r="I28">
        <f t="shared" si="6"/>
        <v>2021</v>
      </c>
      <c r="J28" t="s">
        <v>53</v>
      </c>
      <c r="K28" s="8">
        <f>IF(I28="לא רלוונטי",0,+פריסה!$D$34+פריסה!$C$34+C18-פריסה!$E$34)</f>
        <v>150000</v>
      </c>
      <c r="L28" s="8">
        <f t="shared" si="0"/>
        <v>20592</v>
      </c>
      <c r="M28" s="8">
        <f t="shared" si="1"/>
        <v>13464</v>
      </c>
      <c r="N28" s="8">
        <f t="shared" si="2"/>
        <v>13464</v>
      </c>
      <c r="Z28" s="9"/>
    </row>
    <row r="29" spans="1:26" x14ac:dyDescent="0.3">
      <c r="G29" s="46"/>
      <c r="I29">
        <f>+IF(פריסה!$B$35&gt;F25,"לא רלוונטי",פריסה!$B$35)</f>
        <v>2022</v>
      </c>
      <c r="J29" s="3" t="s">
        <v>50</v>
      </c>
      <c r="K29" s="8">
        <f>IF(I29="לא רלוונטי",0,+פריסה!$D$35+פריסה!$C$35)</f>
        <v>144000</v>
      </c>
      <c r="L29" s="8">
        <f t="shared" si="0"/>
        <v>19392</v>
      </c>
      <c r="M29" s="8">
        <f t="shared" si="1"/>
        <v>12264</v>
      </c>
      <c r="N29" s="8">
        <f t="shared" si="2"/>
        <v>12264</v>
      </c>
      <c r="Z29" s="9"/>
    </row>
    <row r="30" spans="1:26" x14ac:dyDescent="0.3">
      <c r="G30" s="46"/>
      <c r="I30">
        <f>+I29</f>
        <v>2022</v>
      </c>
      <c r="J30" t="s">
        <v>51</v>
      </c>
      <c r="K30" s="8">
        <f>IF(I30="לא רלוונטי",0,+פריסה!$D$35+פריסה!$C$35-פריסה!$E$35)</f>
        <v>120000</v>
      </c>
      <c r="L30" s="8">
        <f t="shared" si="0"/>
        <v>14592</v>
      </c>
      <c r="M30" s="8">
        <f t="shared" si="1"/>
        <v>7464</v>
      </c>
      <c r="N30" s="8">
        <f t="shared" si="2"/>
        <v>7464</v>
      </c>
    </row>
    <row r="31" spans="1:26" x14ac:dyDescent="0.3">
      <c r="G31" s="46"/>
      <c r="H31" s="9">
        <f>+N31-N29</f>
        <v>6237.5999999999985</v>
      </c>
      <c r="I31">
        <f t="shared" ref="I31:I32" si="7">+I30</f>
        <v>2022</v>
      </c>
      <c r="J31" t="s">
        <v>52</v>
      </c>
      <c r="K31" s="8">
        <f>IF(I31="לא רלוונטי",0,+פריסה!$D$35+פריסה!$C$35+C18)</f>
        <v>174000</v>
      </c>
      <c r="L31" s="8">
        <f t="shared" si="0"/>
        <v>25629.599999999999</v>
      </c>
      <c r="M31" s="8">
        <f t="shared" si="1"/>
        <v>18501.599999999999</v>
      </c>
      <c r="N31" s="8">
        <f t="shared" si="2"/>
        <v>18501.599999999999</v>
      </c>
    </row>
    <row r="32" spans="1:26" x14ac:dyDescent="0.3">
      <c r="G32" s="46"/>
      <c r="H32" s="9">
        <f>+N32-N30</f>
        <v>6000</v>
      </c>
      <c r="I32">
        <f t="shared" si="7"/>
        <v>2022</v>
      </c>
      <c r="J32" t="s">
        <v>53</v>
      </c>
      <c r="K32" s="8">
        <f>IF(I32="לא רלוונטי",0,+פריסה!$D$35+פריסה!$C$35+C18-פריסה!$E$35)</f>
        <v>150000</v>
      </c>
      <c r="L32" s="8">
        <f t="shared" si="0"/>
        <v>20592</v>
      </c>
      <c r="M32" s="8">
        <f t="shared" si="1"/>
        <v>13464</v>
      </c>
      <c r="N32" s="8">
        <f t="shared" si="2"/>
        <v>13464</v>
      </c>
    </row>
    <row r="33" spans="6:14" x14ac:dyDescent="0.3">
      <c r="G33" s="46"/>
      <c r="I33">
        <f>+IF(פריסה!$B$36&gt;F25,"לא רלוונטי",פריסה!$B$36)</f>
        <v>2023</v>
      </c>
      <c r="J33" s="3" t="s">
        <v>50</v>
      </c>
      <c r="K33" s="8">
        <f>IF(I33="לא רלוונטי",0,+פריסה!$D$36+פריסה!$C$36)</f>
        <v>144000</v>
      </c>
      <c r="L33" s="8">
        <f t="shared" si="0"/>
        <v>19392</v>
      </c>
      <c r="M33" s="8">
        <f t="shared" si="1"/>
        <v>12264</v>
      </c>
      <c r="N33" s="8">
        <f t="shared" si="2"/>
        <v>12264</v>
      </c>
    </row>
    <row r="34" spans="6:14" x14ac:dyDescent="0.3">
      <c r="G34" s="46"/>
      <c r="I34">
        <f>+I33</f>
        <v>2023</v>
      </c>
      <c r="J34" t="s">
        <v>51</v>
      </c>
      <c r="K34" s="8">
        <f>IF(I34="לא רלוונטי",0,+פריסה!$D$36+פריסה!$C$36-פריסה!$E$36)</f>
        <v>120000</v>
      </c>
      <c r="L34" s="8">
        <f t="shared" si="0"/>
        <v>14592</v>
      </c>
      <c r="M34" s="8">
        <f t="shared" si="1"/>
        <v>7464</v>
      </c>
      <c r="N34" s="8">
        <f t="shared" si="2"/>
        <v>7464</v>
      </c>
    </row>
    <row r="35" spans="6:14" x14ac:dyDescent="0.3">
      <c r="G35" s="46"/>
      <c r="H35" s="9">
        <f>+N35-N33</f>
        <v>6237.5999999999985</v>
      </c>
      <c r="I35">
        <f t="shared" ref="I35:I36" si="8">+I34</f>
        <v>2023</v>
      </c>
      <c r="J35" t="s">
        <v>52</v>
      </c>
      <c r="K35" s="8">
        <f>IF(I35="לא רלוונטי",0,+פריסה!$D$36+פריסה!$C$36+C18)</f>
        <v>174000</v>
      </c>
      <c r="L35" s="8">
        <f t="shared" si="0"/>
        <v>25629.599999999999</v>
      </c>
      <c r="M35" s="8">
        <f t="shared" si="1"/>
        <v>18501.599999999999</v>
      </c>
      <c r="N35" s="8">
        <f t="shared" si="2"/>
        <v>18501.599999999999</v>
      </c>
    </row>
    <row r="36" spans="6:14" x14ac:dyDescent="0.3">
      <c r="G36" s="46"/>
      <c r="H36" s="9">
        <f>+N36-N34</f>
        <v>6000</v>
      </c>
      <c r="I36">
        <f t="shared" si="8"/>
        <v>2023</v>
      </c>
      <c r="J36" t="s">
        <v>53</v>
      </c>
      <c r="K36" s="8">
        <f>IF(I36="לא רלוונטי",0,+פריסה!$D$36+פריסה!$C$36+C18-פריסה!$E$36)</f>
        <v>150000</v>
      </c>
      <c r="L36" s="8">
        <f t="shared" si="0"/>
        <v>20592</v>
      </c>
      <c r="M36" s="8">
        <f t="shared" si="1"/>
        <v>13464</v>
      </c>
      <c r="N36" s="8">
        <f t="shared" si="2"/>
        <v>13464</v>
      </c>
    </row>
    <row r="37" spans="6:14" x14ac:dyDescent="0.3">
      <c r="G37" s="46"/>
      <c r="L37" s="8"/>
      <c r="M37" s="8"/>
      <c r="N37" s="8"/>
    </row>
    <row r="38" spans="6:14" x14ac:dyDescent="0.3">
      <c r="G38" s="46"/>
      <c r="H38" s="9">
        <f>+H35+H31+H27+H23+H19+H15</f>
        <v>37187.999999999993</v>
      </c>
      <c r="I38" t="s">
        <v>54</v>
      </c>
      <c r="L38" s="8"/>
      <c r="M38" s="8"/>
      <c r="N38" s="8"/>
    </row>
    <row r="39" spans="6:14" x14ac:dyDescent="0.3">
      <c r="G39" s="46"/>
      <c r="H39" s="9">
        <f>+H36+H32+H28+H24+H20+H16</f>
        <v>36000</v>
      </c>
      <c r="I39" t="s">
        <v>55</v>
      </c>
      <c r="L39" s="8"/>
      <c r="M39" s="8"/>
      <c r="N39" s="8"/>
    </row>
    <row r="40" spans="6:14" x14ac:dyDescent="0.3">
      <c r="L40" s="8"/>
    </row>
    <row r="41" spans="6:14" x14ac:dyDescent="0.3">
      <c r="F41">
        <f>+פריסה!B31</f>
        <v>2018</v>
      </c>
      <c r="G41" s="46" t="s">
        <v>62</v>
      </c>
      <c r="I41">
        <f>+IF(F41&gt;F51,"לא רלוונטי",פריסה!$B$31)</f>
        <v>2018</v>
      </c>
      <c r="J41" s="3" t="s">
        <v>50</v>
      </c>
      <c r="K41" s="8">
        <f>IF(I41="לא רלוונטי",0,+פריסה!$D$31+פריסה!$C$31)</f>
        <v>132000</v>
      </c>
      <c r="L41" s="8">
        <f t="shared" ref="L41:L60" si="9">IF(K41&lt;=$J$3,K41*$K$3,IF(K41&lt;=$J$4,(K41-$J$3)*$K$4+$J$3*$K$3,IF(K41&lt;=$J$5,(K41-$J$4)*$K$5+($J$4-$J$3)*$K$4+$J$3*$K$3,IF(K41&lt;=$J$6,(K41-$J$5)*$K$6+($J$5-$J$4)*$K$5+($J$4-$J$3)*$K$4+$J$3*$K$3,IF(K41&lt;=$J$7,(K41-$J$6)*$K$7+($J$6-$J$5)*$K$6+($J$5-$J$4)*$K$5+($J$4-$J$3)*$K$4+$J$3*$K$3,IF(K41&lt;=$J$8,(K41-$J$7)*$K$8+($J$7-$J$6)*$K$7+($J$6-$J$5)*$K$6+($J$5-$J$4)*$K$5+($J$4-$J$3)*$K$4+$J$3*$K$3,(K41-$J$8)*$K$9+($J$8-$J$7)*$K$8+($J$7-$J$6)*$K$7+($J$6-$J$5)*$K$6+($J$5-$J$4)*$K$5+($J$4-$J$3)*$K$4+$J$3*$K$3))))))</f>
        <v>16992</v>
      </c>
      <c r="M41" s="8">
        <f>L41-$H$1</f>
        <v>9864</v>
      </c>
      <c r="N41" s="8">
        <f>IF(M41&gt;0,M41,0)</f>
        <v>9864</v>
      </c>
    </row>
    <row r="42" spans="6:14" x14ac:dyDescent="0.3">
      <c r="G42" s="46"/>
      <c r="I42">
        <f>+I41</f>
        <v>2018</v>
      </c>
      <c r="J42" t="s">
        <v>51</v>
      </c>
      <c r="K42" s="8">
        <f>IF(I42="לא רלוונטי",0,+פריסה!$D$31+פריסה!$C$31-פריסה!$E$31)</f>
        <v>108000</v>
      </c>
      <c r="L42" s="8">
        <f t="shared" si="9"/>
        <v>12192</v>
      </c>
      <c r="M42" s="8">
        <f t="shared" ref="M42:M105" si="10">L42-$H$1</f>
        <v>5064</v>
      </c>
      <c r="N42" s="8">
        <f t="shared" ref="N42:N105" si="11">IF(M42&gt;0,M42,0)</f>
        <v>5064</v>
      </c>
    </row>
    <row r="43" spans="6:14" x14ac:dyDescent="0.3">
      <c r="G43" s="46"/>
      <c r="H43" s="9">
        <f>+N43-N41</f>
        <v>7200</v>
      </c>
      <c r="I43">
        <f>+I42</f>
        <v>2018</v>
      </c>
      <c r="J43" t="s">
        <v>52</v>
      </c>
      <c r="K43" s="8">
        <f>IF(I43="לא רלוונטי",0,+פריסה!$D$31+פריסה!$C$31+C19)</f>
        <v>168000</v>
      </c>
      <c r="L43" s="8">
        <f t="shared" si="9"/>
        <v>24192</v>
      </c>
      <c r="M43" s="8">
        <f t="shared" si="10"/>
        <v>17064</v>
      </c>
      <c r="N43" s="8">
        <f t="shared" si="11"/>
        <v>17064</v>
      </c>
    </row>
    <row r="44" spans="6:14" x14ac:dyDescent="0.3">
      <c r="G44" s="46"/>
      <c r="H44" s="9">
        <f>+N44-N42</f>
        <v>7200</v>
      </c>
      <c r="I44">
        <f>+I43</f>
        <v>2018</v>
      </c>
      <c r="J44" t="s">
        <v>53</v>
      </c>
      <c r="K44" s="8">
        <f>IF(I44="לא רלוונטי",0,+פריסה!$D$31+פריסה!$C$31+C19-פריסה!$E$31)</f>
        <v>144000</v>
      </c>
      <c r="L44" s="8">
        <f t="shared" si="9"/>
        <v>19392</v>
      </c>
      <c r="M44" s="8">
        <f t="shared" si="10"/>
        <v>12264</v>
      </c>
      <c r="N44" s="8">
        <f t="shared" si="11"/>
        <v>12264</v>
      </c>
    </row>
    <row r="45" spans="6:14" x14ac:dyDescent="0.3">
      <c r="G45" s="46"/>
      <c r="I45">
        <f>+IF(פריסה!$B$32&gt;F51,"לא רלוונטי",פריסה!$B$32)</f>
        <v>2019</v>
      </c>
      <c r="J45" s="3" t="s">
        <v>50</v>
      </c>
      <c r="K45" s="8">
        <f>IF(I45="לא רלוונטי",0,+פריסה!$D$32+פריסה!$C$32)</f>
        <v>144000</v>
      </c>
      <c r="L45" s="8">
        <f t="shared" si="9"/>
        <v>19392</v>
      </c>
      <c r="M45" s="8">
        <f t="shared" si="10"/>
        <v>12264</v>
      </c>
      <c r="N45" s="8">
        <f t="shared" si="11"/>
        <v>12264</v>
      </c>
    </row>
    <row r="46" spans="6:14" x14ac:dyDescent="0.3">
      <c r="G46" s="46"/>
      <c r="I46">
        <f>+I45</f>
        <v>2019</v>
      </c>
      <c r="J46" t="s">
        <v>51</v>
      </c>
      <c r="K46" s="8">
        <f>IF(I46="לא רלוונטי",0,+פריסה!$D$32+פריסה!$C$32-פריסה!$E$32)</f>
        <v>120000</v>
      </c>
      <c r="L46" s="8">
        <f t="shared" si="9"/>
        <v>14592</v>
      </c>
      <c r="M46" s="8">
        <f t="shared" si="10"/>
        <v>7464</v>
      </c>
      <c r="N46" s="8">
        <f t="shared" si="11"/>
        <v>7464</v>
      </c>
    </row>
    <row r="47" spans="6:14" x14ac:dyDescent="0.3">
      <c r="G47" s="46"/>
      <c r="H47" s="9">
        <f>+N47-N45</f>
        <v>8097.5999999999985</v>
      </c>
      <c r="I47">
        <f>+I46</f>
        <v>2019</v>
      </c>
      <c r="J47" t="s">
        <v>52</v>
      </c>
      <c r="K47" s="8">
        <f>IF(I47="לא רלוונטי",0,+פריסה!$D$32+פריסה!$C$32+C19)</f>
        <v>180000</v>
      </c>
      <c r="L47" s="8">
        <f t="shared" si="9"/>
        <v>27489.599999999999</v>
      </c>
      <c r="M47" s="8">
        <f t="shared" si="10"/>
        <v>20361.599999999999</v>
      </c>
      <c r="N47" s="8">
        <f t="shared" si="11"/>
        <v>20361.599999999999</v>
      </c>
    </row>
    <row r="48" spans="6:14" x14ac:dyDescent="0.3">
      <c r="G48" s="46"/>
      <c r="H48" s="9">
        <f>+N48-N46</f>
        <v>7200</v>
      </c>
      <c r="I48">
        <f>+I45</f>
        <v>2019</v>
      </c>
      <c r="J48" t="s">
        <v>53</v>
      </c>
      <c r="K48" s="8">
        <f>IF(I48="לא רלוונטי",0,+פריסה!$D$32+פריסה!$C$32+C19-פריסה!$E$32)</f>
        <v>156000</v>
      </c>
      <c r="L48" s="8">
        <f>IF(K48&lt;=$J$3,K48*$K$3,IF(K48&lt;=$J$4,(K48-$J$3)*$K$4+$J$3*$K$3,IF(K48&lt;=$J$5,(K48-$J$4)*$K$5+($J$4-$J$3)*$K$4+$J$3*$K$3,IF(K48&lt;=$J$6,(K48-$J$5)*$K$6+($J$5-$J$4)*$K$5+($J$4-$J$3)*$K$4+$J$3*$K$3,IF(K48&lt;=$J$7,(K48-$J$6)*$K$7+($J$6-$J$5)*$K$6+($J$5-$J$4)*$K$5+($J$4-$J$3)*$K$4+$J$3*$K$3,IF(K48&lt;=$J$8,(K48-$J$7)*$K$8+($J$7-$J$6)*$K$7+($J$6-$J$5)*$K$6+($J$5-$J$4)*$K$5+($J$4-$J$3)*$K$4+$J$3*$K$3,(K48-$J$8)*$K$9+($J$8-$J$7)*$K$8+($J$7-$J$6)*$K$7+($J$6-$J$5)*$K$6+($J$5-$J$4)*$K$5+($J$4-$J$3)*$K$4+$J$3*$K$3))))))</f>
        <v>21792</v>
      </c>
      <c r="M48" s="8">
        <f t="shared" si="10"/>
        <v>14664</v>
      </c>
      <c r="N48" s="8">
        <f t="shared" si="11"/>
        <v>14664</v>
      </c>
    </row>
    <row r="49" spans="6:14" x14ac:dyDescent="0.3">
      <c r="G49" s="46"/>
      <c r="I49">
        <f>+IF(פריסה!$B$33&gt;F51,"לא רלוונטי",פריסה!$B$33)</f>
        <v>2020</v>
      </c>
      <c r="J49" s="3" t="s">
        <v>50</v>
      </c>
      <c r="K49" s="8">
        <f>IF(I49="לא רלוונטי",0,+פריסה!$D$33+פריסה!$C$33)</f>
        <v>144000</v>
      </c>
      <c r="L49" s="8">
        <f t="shared" si="9"/>
        <v>19392</v>
      </c>
      <c r="M49" s="8">
        <f t="shared" si="10"/>
        <v>12264</v>
      </c>
      <c r="N49" s="8">
        <f t="shared" si="11"/>
        <v>12264</v>
      </c>
    </row>
    <row r="50" spans="6:14" x14ac:dyDescent="0.3">
      <c r="G50" s="46"/>
      <c r="I50">
        <f>+I49</f>
        <v>2020</v>
      </c>
      <c r="J50" t="s">
        <v>51</v>
      </c>
      <c r="K50" s="8">
        <f>IF(I50="לא רלוונטי",0,+פריסה!$D$33+פריסה!$C$33-פריסה!$E$33)</f>
        <v>120000</v>
      </c>
      <c r="L50" s="8">
        <f t="shared" si="9"/>
        <v>14592</v>
      </c>
      <c r="M50" s="8">
        <f t="shared" si="10"/>
        <v>7464</v>
      </c>
      <c r="N50" s="8">
        <f t="shared" si="11"/>
        <v>7464</v>
      </c>
    </row>
    <row r="51" spans="6:14" x14ac:dyDescent="0.3">
      <c r="F51" s="13">
        <f>F41+F52-1</f>
        <v>2022</v>
      </c>
      <c r="G51" s="46"/>
      <c r="H51" s="9">
        <f>+N51-N49</f>
        <v>8097.5999999999985</v>
      </c>
      <c r="I51">
        <f t="shared" ref="I51:I52" si="12">+I50</f>
        <v>2020</v>
      </c>
      <c r="J51" t="s">
        <v>52</v>
      </c>
      <c r="K51" s="8">
        <f>IF(I51="לא רלוונטי",0,+פריסה!$D$33+פריסה!$C$33+C19)</f>
        <v>180000</v>
      </c>
      <c r="L51" s="8">
        <f t="shared" si="9"/>
        <v>27489.599999999999</v>
      </c>
      <c r="M51" s="8">
        <f t="shared" si="10"/>
        <v>20361.599999999999</v>
      </c>
      <c r="N51" s="8">
        <f t="shared" si="11"/>
        <v>20361.599999999999</v>
      </c>
    </row>
    <row r="52" spans="6:14" x14ac:dyDescent="0.3">
      <c r="F52" s="13">
        <f>+B18-1</f>
        <v>5</v>
      </c>
      <c r="G52" s="46"/>
      <c r="H52" s="9">
        <f>+N52-N50</f>
        <v>7200</v>
      </c>
      <c r="I52">
        <f t="shared" si="12"/>
        <v>2020</v>
      </c>
      <c r="J52" t="s">
        <v>53</v>
      </c>
      <c r="K52" s="8">
        <f>IF(I52="לא רלוונטי",0,+פריסה!$D$33+פריסה!$C$33+C19-פריסה!$E$33)</f>
        <v>156000</v>
      </c>
      <c r="L52" s="8">
        <f t="shared" si="9"/>
        <v>21792</v>
      </c>
      <c r="M52" s="8">
        <f t="shared" si="10"/>
        <v>14664</v>
      </c>
      <c r="N52" s="8">
        <f t="shared" si="11"/>
        <v>14664</v>
      </c>
    </row>
    <row r="53" spans="6:14" x14ac:dyDescent="0.3">
      <c r="G53" s="46"/>
      <c r="I53">
        <f>+IF(פריסה!$B$34&gt;'חישובי עזר '!F51,"לא רלוונטי",פריסה!$B$34)</f>
        <v>2021</v>
      </c>
      <c r="J53" s="3" t="s">
        <v>50</v>
      </c>
      <c r="K53" s="8">
        <f>IF(I53="לא רלוונטי",0,+פריסה!$D$34+פריסה!$C$34)</f>
        <v>144000</v>
      </c>
      <c r="L53" s="8">
        <f t="shared" si="9"/>
        <v>19392</v>
      </c>
      <c r="M53" s="8">
        <f t="shared" si="10"/>
        <v>12264</v>
      </c>
      <c r="N53" s="8">
        <f t="shared" si="11"/>
        <v>12264</v>
      </c>
    </row>
    <row r="54" spans="6:14" x14ac:dyDescent="0.3">
      <c r="G54" s="46"/>
      <c r="I54">
        <f>+I53</f>
        <v>2021</v>
      </c>
      <c r="J54" t="s">
        <v>51</v>
      </c>
      <c r="K54" s="8">
        <f>IF(I54="לא רלוונטי",0,+פריסה!$D$34+פריסה!$C$34-פריסה!$E$34)</f>
        <v>120000</v>
      </c>
      <c r="L54" s="8">
        <f t="shared" si="9"/>
        <v>14592</v>
      </c>
      <c r="M54" s="8">
        <f t="shared" si="10"/>
        <v>7464</v>
      </c>
      <c r="N54" s="8">
        <f t="shared" si="11"/>
        <v>7464</v>
      </c>
    </row>
    <row r="55" spans="6:14" x14ac:dyDescent="0.3">
      <c r="G55" s="46"/>
      <c r="H55" s="9">
        <f>+N55-N53</f>
        <v>8097.5999999999985</v>
      </c>
      <c r="I55">
        <f t="shared" ref="I55:I56" si="13">+I54</f>
        <v>2021</v>
      </c>
      <c r="J55" t="s">
        <v>52</v>
      </c>
      <c r="K55" s="8">
        <f>IF(I55="לא רלוונטי",0,+פריסה!$D$34+פריסה!$C$34+C19)</f>
        <v>180000</v>
      </c>
      <c r="L55" s="8">
        <f t="shared" si="9"/>
        <v>27489.599999999999</v>
      </c>
      <c r="M55" s="8">
        <f t="shared" si="10"/>
        <v>20361.599999999999</v>
      </c>
      <c r="N55" s="8">
        <f t="shared" si="11"/>
        <v>20361.599999999999</v>
      </c>
    </row>
    <row r="56" spans="6:14" x14ac:dyDescent="0.3">
      <c r="G56" s="46"/>
      <c r="H56" s="9">
        <f>+N56-N54</f>
        <v>7200</v>
      </c>
      <c r="I56">
        <f t="shared" si="13"/>
        <v>2021</v>
      </c>
      <c r="J56" t="s">
        <v>53</v>
      </c>
      <c r="K56" s="8">
        <f>IF(I56="לא רלוונטי",0,+פריסה!$D$34+פריסה!$C$34+C19-פריסה!$E$34)</f>
        <v>156000</v>
      </c>
      <c r="L56" s="8">
        <f t="shared" si="9"/>
        <v>21792</v>
      </c>
      <c r="M56" s="8">
        <f t="shared" si="10"/>
        <v>14664</v>
      </c>
      <c r="N56" s="8">
        <f t="shared" si="11"/>
        <v>14664</v>
      </c>
    </row>
    <row r="57" spans="6:14" x14ac:dyDescent="0.3">
      <c r="G57" s="46"/>
      <c r="I57">
        <f>+IF(פריסה!$B$35&gt;F51,"לא רלוונטי",פריסה!$B$35)</f>
        <v>2022</v>
      </c>
      <c r="J57" s="3" t="s">
        <v>50</v>
      </c>
      <c r="K57" s="8">
        <f>IF(I57="לא רלוונטי",0,+פריסה!$D$35+פריסה!$C$35)</f>
        <v>144000</v>
      </c>
      <c r="L57" s="8">
        <f t="shared" si="9"/>
        <v>19392</v>
      </c>
      <c r="M57" s="8">
        <f t="shared" si="10"/>
        <v>12264</v>
      </c>
      <c r="N57" s="8">
        <f t="shared" si="11"/>
        <v>12264</v>
      </c>
    </row>
    <row r="58" spans="6:14" x14ac:dyDescent="0.3">
      <c r="G58" s="46"/>
      <c r="I58">
        <f>+I57</f>
        <v>2022</v>
      </c>
      <c r="J58" t="s">
        <v>51</v>
      </c>
      <c r="K58" s="8">
        <f>IF(I58="לא רלוונטי",0,+פריסה!$D$35+פריסה!$C$35-פריסה!$E$35)</f>
        <v>120000</v>
      </c>
      <c r="L58" s="8">
        <f t="shared" si="9"/>
        <v>14592</v>
      </c>
      <c r="M58" s="8">
        <f t="shared" si="10"/>
        <v>7464</v>
      </c>
      <c r="N58" s="8">
        <f t="shared" si="11"/>
        <v>7464</v>
      </c>
    </row>
    <row r="59" spans="6:14" x14ac:dyDescent="0.3">
      <c r="G59" s="46"/>
      <c r="H59" s="9">
        <f>+N59-N57</f>
        <v>8097.5999999999985</v>
      </c>
      <c r="I59">
        <f t="shared" ref="I59:I60" si="14">+I58</f>
        <v>2022</v>
      </c>
      <c r="J59" t="s">
        <v>52</v>
      </c>
      <c r="K59" s="8">
        <f>IF(I59="לא רלוונטי",0,+פריסה!$D$35+פריסה!$C$35+C19)</f>
        <v>180000</v>
      </c>
      <c r="L59" s="8">
        <f t="shared" si="9"/>
        <v>27489.599999999999</v>
      </c>
      <c r="M59" s="8">
        <f t="shared" si="10"/>
        <v>20361.599999999999</v>
      </c>
      <c r="N59" s="8">
        <f t="shared" si="11"/>
        <v>20361.599999999999</v>
      </c>
    </row>
    <row r="60" spans="6:14" x14ac:dyDescent="0.3">
      <c r="G60" s="46"/>
      <c r="H60" s="9">
        <f>+N60-N58</f>
        <v>7200</v>
      </c>
      <c r="I60">
        <f t="shared" si="14"/>
        <v>2022</v>
      </c>
      <c r="J60" t="s">
        <v>53</v>
      </c>
      <c r="K60" s="8">
        <f>IF(I60="לא רלוונטי",0,+פריסה!$D$35+פריסה!$C$35+C19-פריסה!$E$35)</f>
        <v>156000</v>
      </c>
      <c r="L60" s="8">
        <f t="shared" si="9"/>
        <v>21792</v>
      </c>
      <c r="M60" s="8">
        <f t="shared" si="10"/>
        <v>14664</v>
      </c>
      <c r="N60" s="8">
        <f t="shared" si="11"/>
        <v>14664</v>
      </c>
    </row>
    <row r="61" spans="6:14" x14ac:dyDescent="0.3">
      <c r="G61" s="46"/>
      <c r="L61" s="8"/>
      <c r="M61" s="8"/>
      <c r="N61" s="8"/>
    </row>
    <row r="62" spans="6:14" x14ac:dyDescent="0.3">
      <c r="G62" s="46"/>
      <c r="H62" s="9">
        <f>+H59+H55+H51+H47+H43</f>
        <v>39590.399999999994</v>
      </c>
      <c r="L62" s="8"/>
      <c r="M62" s="8"/>
      <c r="N62" s="8"/>
    </row>
    <row r="63" spans="6:14" x14ac:dyDescent="0.3">
      <c r="G63" s="46"/>
      <c r="H63" s="9">
        <f>+H60+H56+H52+H48+H44</f>
        <v>36000</v>
      </c>
      <c r="L63" s="8"/>
      <c r="M63" s="8"/>
      <c r="N63" s="8"/>
    </row>
    <row r="64" spans="6:14" x14ac:dyDescent="0.3">
      <c r="L64" s="8"/>
    </row>
    <row r="65" spans="6:14" x14ac:dyDescent="0.3">
      <c r="F65">
        <f>+פריסה!B31</f>
        <v>2018</v>
      </c>
      <c r="G65" s="46" t="s">
        <v>63</v>
      </c>
      <c r="I65">
        <f>+IF(F65&gt;F73,"לא רלוונטי",פריסה!$B$31)</f>
        <v>2018</v>
      </c>
      <c r="J65" s="3" t="s">
        <v>50</v>
      </c>
      <c r="K65" s="8">
        <f>IF(I65="לא רלוונטי",0,+פריסה!$D$31+פריסה!$C$31)</f>
        <v>132000</v>
      </c>
      <c r="L65" s="8">
        <f t="shared" ref="L65:L80" si="15">IF(K65&lt;=$J$3,K65*$K$3,IF(K65&lt;=$J$4,(K65-$J$3)*$K$4+$J$3*$K$3,IF(K65&lt;=$J$5,(K65-$J$4)*$K$5+($J$4-$J$3)*$K$4+$J$3*$K$3,IF(K65&lt;=$J$6,(K65-$J$5)*$K$6+($J$5-$J$4)*$K$5+($J$4-$J$3)*$K$4+$J$3*$K$3,IF(K65&lt;=$J$7,(K65-$J$6)*$K$7+($J$6-$J$5)*$K$6+($J$5-$J$4)*$K$5+($J$4-$J$3)*$K$4+$J$3*$K$3,IF(K65&lt;=$J$8,(K65-$J$7)*$K$8+($J$7-$J$6)*$K$7+($J$6-$J$5)*$K$6+($J$5-$J$4)*$K$5+($J$4-$J$3)*$K$4+$J$3*$K$3,(K65-$J$8)*$K$9+($J$8-$J$7)*$K$8+($J$7-$J$6)*$K$7+($J$6-$J$5)*$K$6+($J$5-$J$4)*$K$5+($J$4-$J$3)*$K$4+$J$3*$K$3))))))</f>
        <v>16992</v>
      </c>
      <c r="M65" s="8">
        <f t="shared" si="10"/>
        <v>9864</v>
      </c>
      <c r="N65" s="8">
        <f t="shared" si="11"/>
        <v>9864</v>
      </c>
    </row>
    <row r="66" spans="6:14" x14ac:dyDescent="0.3">
      <c r="G66" s="46"/>
      <c r="I66">
        <f>+I65</f>
        <v>2018</v>
      </c>
      <c r="J66" t="s">
        <v>51</v>
      </c>
      <c r="K66" s="8">
        <f>IF(I66="לא רלוונטי",0,+פריסה!$D$31+פריסה!$C$31-פריסה!$E$31)</f>
        <v>108000</v>
      </c>
      <c r="L66" s="8">
        <f t="shared" si="15"/>
        <v>12192</v>
      </c>
      <c r="M66" s="8">
        <f t="shared" si="10"/>
        <v>5064</v>
      </c>
      <c r="N66" s="8">
        <f t="shared" si="11"/>
        <v>5064</v>
      </c>
    </row>
    <row r="67" spans="6:14" x14ac:dyDescent="0.3">
      <c r="G67" s="46"/>
      <c r="H67" s="9">
        <f>+N67-N65</f>
        <v>9567.5999999999985</v>
      </c>
      <c r="I67">
        <f>+I66</f>
        <v>2018</v>
      </c>
      <c r="J67" t="s">
        <v>52</v>
      </c>
      <c r="K67" s="8">
        <f>IF(I67="לא רלוונטי",0,+פריסה!$D$31+פריסה!$C$31+C20)</f>
        <v>177000</v>
      </c>
      <c r="L67" s="8">
        <f t="shared" si="15"/>
        <v>26559.599999999999</v>
      </c>
      <c r="M67" s="8">
        <f t="shared" si="10"/>
        <v>19431.599999999999</v>
      </c>
      <c r="N67" s="8">
        <f t="shared" si="11"/>
        <v>19431.599999999999</v>
      </c>
    </row>
    <row r="68" spans="6:14" x14ac:dyDescent="0.3">
      <c r="G68" s="46"/>
      <c r="H68" s="9">
        <f>+N68-N66</f>
        <v>9000</v>
      </c>
      <c r="I68">
        <f>+I67</f>
        <v>2018</v>
      </c>
      <c r="J68" t="s">
        <v>53</v>
      </c>
      <c r="K68" s="8">
        <f>IF(I68="לא רלוונטי",0,+פריסה!$D$31+פריסה!$C$31+C20-פריסה!$E$31)</f>
        <v>153000</v>
      </c>
      <c r="L68" s="8">
        <f t="shared" si="15"/>
        <v>21192</v>
      </c>
      <c r="M68" s="8">
        <f t="shared" si="10"/>
        <v>14064</v>
      </c>
      <c r="N68" s="8">
        <f t="shared" si="11"/>
        <v>14064</v>
      </c>
    </row>
    <row r="69" spans="6:14" x14ac:dyDescent="0.3">
      <c r="G69" s="46"/>
      <c r="I69">
        <f>+IF(פריסה!$B$32&gt;F73,"לא רלוונטי",פריסה!$B$32)</f>
        <v>2019</v>
      </c>
      <c r="J69" s="3" t="s">
        <v>50</v>
      </c>
      <c r="K69" s="8">
        <f>IF(I69="לא רלוונטי",0,+פריסה!$D$32+פריסה!$C$32)</f>
        <v>144000</v>
      </c>
      <c r="L69" s="8">
        <f t="shared" si="15"/>
        <v>19392</v>
      </c>
      <c r="M69" s="8">
        <f t="shared" si="10"/>
        <v>12264</v>
      </c>
      <c r="N69" s="8">
        <f t="shared" si="11"/>
        <v>12264</v>
      </c>
    </row>
    <row r="70" spans="6:14" x14ac:dyDescent="0.3">
      <c r="G70" s="46"/>
      <c r="I70">
        <f>+I69</f>
        <v>2019</v>
      </c>
      <c r="J70" t="s">
        <v>51</v>
      </c>
      <c r="K70" s="8">
        <f>IF(I70="לא רלוונטי",0,+פריסה!$D$32+פריסה!$C$32-פריסה!$E$32)</f>
        <v>120000</v>
      </c>
      <c r="L70" s="8">
        <f t="shared" si="15"/>
        <v>14592</v>
      </c>
      <c r="M70" s="8">
        <f t="shared" si="10"/>
        <v>7464</v>
      </c>
      <c r="N70" s="8">
        <f t="shared" si="11"/>
        <v>7464</v>
      </c>
    </row>
    <row r="71" spans="6:14" x14ac:dyDescent="0.3">
      <c r="G71" s="46"/>
      <c r="H71" s="9">
        <f>+N71-N69</f>
        <v>10887.599999999999</v>
      </c>
      <c r="I71">
        <f>+I70</f>
        <v>2019</v>
      </c>
      <c r="J71" t="s">
        <v>52</v>
      </c>
      <c r="K71" s="8">
        <f>IF(I71="לא רלוונטי",0,+פריסה!$D$32+פריסה!$C$32+C20)</f>
        <v>189000</v>
      </c>
      <c r="L71" s="8">
        <f t="shared" si="15"/>
        <v>30279.599999999999</v>
      </c>
      <c r="M71" s="8">
        <f t="shared" si="10"/>
        <v>23151.599999999999</v>
      </c>
      <c r="N71" s="8">
        <f t="shared" si="11"/>
        <v>23151.599999999999</v>
      </c>
    </row>
    <row r="72" spans="6:14" x14ac:dyDescent="0.3">
      <c r="G72" s="46"/>
      <c r="H72" s="9">
        <f>+N72-N70</f>
        <v>9000</v>
      </c>
      <c r="I72">
        <f>+I69</f>
        <v>2019</v>
      </c>
      <c r="J72" t="s">
        <v>53</v>
      </c>
      <c r="K72" s="8">
        <f>IF(I72="לא רלוונטי",0,+פריסה!$D$32+פריסה!$C$32+C20-פריסה!$E$32)</f>
        <v>165000</v>
      </c>
      <c r="L72" s="8">
        <f t="shared" si="15"/>
        <v>23592</v>
      </c>
      <c r="M72" s="8">
        <f t="shared" si="10"/>
        <v>16464</v>
      </c>
      <c r="N72" s="8">
        <f t="shared" si="11"/>
        <v>16464</v>
      </c>
    </row>
    <row r="73" spans="6:14" x14ac:dyDescent="0.3">
      <c r="F73" s="13">
        <f>+F65+F74-1</f>
        <v>2021</v>
      </c>
      <c r="G73" s="46"/>
      <c r="I73">
        <f>+IF(פריסה!$B$33&gt;F73,"לא רלוונטי",פריסה!$B$33)</f>
        <v>2020</v>
      </c>
      <c r="J73" s="3" t="s">
        <v>50</v>
      </c>
      <c r="K73" s="8">
        <f>IF(I73="לא רלוונטי",0,+פריסה!$D$33+פריסה!$C$33)</f>
        <v>144000</v>
      </c>
      <c r="L73" s="8">
        <f t="shared" si="15"/>
        <v>19392</v>
      </c>
      <c r="M73" s="8">
        <f t="shared" si="10"/>
        <v>12264</v>
      </c>
      <c r="N73" s="8">
        <f t="shared" si="11"/>
        <v>12264</v>
      </c>
    </row>
    <row r="74" spans="6:14" x14ac:dyDescent="0.3">
      <c r="F74" s="13">
        <f>+B18-2</f>
        <v>4</v>
      </c>
      <c r="G74" s="46"/>
      <c r="I74">
        <f>+I73</f>
        <v>2020</v>
      </c>
      <c r="J74" t="s">
        <v>51</v>
      </c>
      <c r="K74" s="8">
        <f>IF(I74="לא רלוונטי",0,+פריסה!$D$33+פריסה!$C$33-פריסה!$E$33)</f>
        <v>120000</v>
      </c>
      <c r="L74" s="8">
        <f t="shared" si="15"/>
        <v>14592</v>
      </c>
      <c r="M74" s="8">
        <f t="shared" si="10"/>
        <v>7464</v>
      </c>
      <c r="N74" s="8">
        <f t="shared" si="11"/>
        <v>7464</v>
      </c>
    </row>
    <row r="75" spans="6:14" x14ac:dyDescent="0.3">
      <c r="G75" s="46"/>
      <c r="H75" s="9">
        <f>+N75-N73</f>
        <v>10887.599999999999</v>
      </c>
      <c r="I75">
        <f t="shared" ref="I75:I76" si="16">+I74</f>
        <v>2020</v>
      </c>
      <c r="J75" t="s">
        <v>52</v>
      </c>
      <c r="K75" s="8">
        <f>IF(I75="לא רלוונטי",0,+פריסה!$D$33+פריסה!$C$33+C20)</f>
        <v>189000</v>
      </c>
      <c r="L75" s="8">
        <f t="shared" si="15"/>
        <v>30279.599999999999</v>
      </c>
      <c r="M75" s="8">
        <f t="shared" si="10"/>
        <v>23151.599999999999</v>
      </c>
      <c r="N75" s="8">
        <f t="shared" si="11"/>
        <v>23151.599999999999</v>
      </c>
    </row>
    <row r="76" spans="6:14" x14ac:dyDescent="0.3">
      <c r="G76" s="46"/>
      <c r="H76" s="9">
        <f>+N76-N74</f>
        <v>9000</v>
      </c>
      <c r="I76">
        <f t="shared" si="16"/>
        <v>2020</v>
      </c>
      <c r="J76" t="s">
        <v>53</v>
      </c>
      <c r="K76" s="8">
        <f>IF(I76="לא רלוונטי",0,+פריסה!$D$33+פריסה!$C$33+C20-פריסה!$E$33)</f>
        <v>165000</v>
      </c>
      <c r="L76" s="8">
        <f t="shared" si="15"/>
        <v>23592</v>
      </c>
      <c r="M76" s="8">
        <f t="shared" si="10"/>
        <v>16464</v>
      </c>
      <c r="N76" s="8">
        <f t="shared" si="11"/>
        <v>16464</v>
      </c>
    </row>
    <row r="77" spans="6:14" x14ac:dyDescent="0.3">
      <c r="G77" s="46"/>
      <c r="I77">
        <f>+IF(פריסה!B34&gt;F73,"לא רלוונטי",פריסה!B34)</f>
        <v>2021</v>
      </c>
      <c r="J77" s="3" t="s">
        <v>50</v>
      </c>
      <c r="K77" s="8">
        <f>IF(I77="לא רלוונטי",0,+פריסה!$D$34+פריסה!$C$34)</f>
        <v>144000</v>
      </c>
      <c r="L77" s="8">
        <f t="shared" si="15"/>
        <v>19392</v>
      </c>
      <c r="M77" s="8">
        <f t="shared" si="10"/>
        <v>12264</v>
      </c>
      <c r="N77" s="8">
        <f t="shared" si="11"/>
        <v>12264</v>
      </c>
    </row>
    <row r="78" spans="6:14" x14ac:dyDescent="0.3">
      <c r="G78" s="46"/>
      <c r="I78">
        <f>+I77</f>
        <v>2021</v>
      </c>
      <c r="J78" t="s">
        <v>51</v>
      </c>
      <c r="K78" s="8">
        <f>IF(I78="לא רלוונטי",0,+פריסה!$D$34+פריסה!$C$34-פריסה!$E$34)</f>
        <v>120000</v>
      </c>
      <c r="L78" s="8">
        <f t="shared" si="15"/>
        <v>14592</v>
      </c>
      <c r="M78" s="8">
        <f t="shared" si="10"/>
        <v>7464</v>
      </c>
      <c r="N78" s="8">
        <f t="shared" si="11"/>
        <v>7464</v>
      </c>
    </row>
    <row r="79" spans="6:14" x14ac:dyDescent="0.3">
      <c r="G79" s="46"/>
      <c r="H79" s="9">
        <f>+N79-N77</f>
        <v>10887.599999999999</v>
      </c>
      <c r="I79">
        <f t="shared" ref="I79:I80" si="17">+I78</f>
        <v>2021</v>
      </c>
      <c r="J79" t="s">
        <v>52</v>
      </c>
      <c r="K79" s="8">
        <f>IF(I79="לא רלוונטי",0,+פריסה!$D$34+פריסה!$C$34+C20)</f>
        <v>189000</v>
      </c>
      <c r="L79" s="8">
        <f t="shared" si="15"/>
        <v>30279.599999999999</v>
      </c>
      <c r="M79" s="8">
        <f t="shared" si="10"/>
        <v>23151.599999999999</v>
      </c>
      <c r="N79" s="8">
        <f t="shared" si="11"/>
        <v>23151.599999999999</v>
      </c>
    </row>
    <row r="80" spans="6:14" x14ac:dyDescent="0.3">
      <c r="G80" s="46"/>
      <c r="H80" s="9">
        <f>+N80-N78</f>
        <v>9000</v>
      </c>
      <c r="I80">
        <f t="shared" si="17"/>
        <v>2021</v>
      </c>
      <c r="J80" t="s">
        <v>53</v>
      </c>
      <c r="K80" s="8">
        <f>IF(I80="לא רלוונטי",0,+פריסה!$D$34+פריסה!$C$34+C20-פריסה!$E$34)</f>
        <v>165000</v>
      </c>
      <c r="L80" s="8">
        <f t="shared" si="15"/>
        <v>23592</v>
      </c>
      <c r="M80" s="8">
        <f t="shared" si="10"/>
        <v>16464</v>
      </c>
      <c r="N80" s="8">
        <f t="shared" si="11"/>
        <v>16464</v>
      </c>
    </row>
    <row r="81" spans="6:14" x14ac:dyDescent="0.3">
      <c r="G81" s="46"/>
      <c r="M81" s="8"/>
      <c r="N81" s="8"/>
    </row>
    <row r="82" spans="6:14" x14ac:dyDescent="0.3">
      <c r="G82" s="46"/>
      <c r="H82" s="9">
        <f>+H79+H75+H71+H67</f>
        <v>42230.399999999994</v>
      </c>
      <c r="M82" s="8"/>
      <c r="N82" s="8"/>
    </row>
    <row r="83" spans="6:14" x14ac:dyDescent="0.3">
      <c r="G83" s="46"/>
      <c r="H83" s="9">
        <f>+H80+H76+H72+H68</f>
        <v>36000</v>
      </c>
      <c r="M83" s="8"/>
      <c r="N83" s="8"/>
    </row>
    <row r="85" spans="6:14" x14ac:dyDescent="0.3">
      <c r="F85">
        <f>+פריסה!B31</f>
        <v>2018</v>
      </c>
      <c r="G85" s="46" t="s">
        <v>64</v>
      </c>
      <c r="I85">
        <f>+IF(F85&gt;F91,"לא רלוונטי",פריסה!$B$31)</f>
        <v>2018</v>
      </c>
      <c r="J85" s="3" t="s">
        <v>50</v>
      </c>
      <c r="K85" s="8">
        <f>IF(I85="לא רלוונטי",0,+פריסה!$D$31+פריסה!$C$31)</f>
        <v>132000</v>
      </c>
      <c r="L85" s="8">
        <f t="shared" ref="L85:L96" si="18">IF(K85&lt;=$J$3,K85*$K$3,IF(K85&lt;=$J$4,(K85-$J$3)*$K$4+$J$3*$K$3,IF(K85&lt;=$J$5,(K85-$J$4)*$K$5+($J$4-$J$3)*$K$4+$J$3*$K$3,IF(K85&lt;=$J$6,(K85-$J$5)*$K$6+($J$5-$J$4)*$K$5+($J$4-$J$3)*$K$4+$J$3*$K$3,IF(K85&lt;=$J$7,(K85-$J$6)*$K$7+($J$6-$J$5)*$K$6+($J$5-$J$4)*$K$5+($J$4-$J$3)*$K$4+$J$3*$K$3,IF(K85&lt;=$J$8,(K85-$J$7)*$K$8+($J$7-$J$6)*$K$7+($J$6-$J$5)*$K$6+($J$5-$J$4)*$K$5+($J$4-$J$3)*$K$4+$J$3*$K$3,(K85-$J$8)*$K$9+($J$8-$J$7)*$K$8+($J$7-$J$6)*$K$7+($J$6-$J$5)*$K$6+($J$5-$J$4)*$K$5+($J$4-$J$3)*$K$4+$J$3*$K$3))))))</f>
        <v>16992</v>
      </c>
      <c r="M85" s="8">
        <f t="shared" si="10"/>
        <v>9864</v>
      </c>
      <c r="N85" s="8">
        <f t="shared" si="11"/>
        <v>9864</v>
      </c>
    </row>
    <row r="86" spans="6:14" x14ac:dyDescent="0.3">
      <c r="G86" s="46"/>
      <c r="I86">
        <f>+I85</f>
        <v>2018</v>
      </c>
      <c r="J86" t="s">
        <v>51</v>
      </c>
      <c r="K86" s="8">
        <f>IF(I86="לא רלוונטי",0,+פריסה!$D$31+פריסה!$C$31-פריסה!$E$31)</f>
        <v>108000</v>
      </c>
      <c r="L86" s="8">
        <f t="shared" si="18"/>
        <v>12192</v>
      </c>
      <c r="M86" s="8">
        <f t="shared" si="10"/>
        <v>5064</v>
      </c>
      <c r="N86" s="8">
        <f t="shared" si="11"/>
        <v>5064</v>
      </c>
    </row>
    <row r="87" spans="6:14" x14ac:dyDescent="0.3">
      <c r="G87" s="46"/>
      <c r="H87" s="9">
        <f>+N87-N85</f>
        <v>14217.599999999999</v>
      </c>
      <c r="I87">
        <f>+I86</f>
        <v>2018</v>
      </c>
      <c r="J87" t="s">
        <v>52</v>
      </c>
      <c r="K87" s="8">
        <f>IF(I87="לא רלוונטי",0,+פריסה!$D$31+פריסה!$C$31+C21)</f>
        <v>192000</v>
      </c>
      <c r="L87" s="8">
        <f t="shared" si="18"/>
        <v>31209.599999999999</v>
      </c>
      <c r="M87" s="8">
        <f t="shared" si="10"/>
        <v>24081.599999999999</v>
      </c>
      <c r="N87" s="8">
        <f t="shared" si="11"/>
        <v>24081.599999999999</v>
      </c>
    </row>
    <row r="88" spans="6:14" x14ac:dyDescent="0.3">
      <c r="G88" s="46"/>
      <c r="H88" s="9">
        <f>+N88-N86</f>
        <v>12000</v>
      </c>
      <c r="I88">
        <f>+I87</f>
        <v>2018</v>
      </c>
      <c r="J88" t="s">
        <v>53</v>
      </c>
      <c r="K88" s="8">
        <f>IF(I88="לא רלוונטי",0,+פריסה!$D$31+פריסה!$C$31+C21-פריסה!$E$31)</f>
        <v>168000</v>
      </c>
      <c r="L88" s="8">
        <f t="shared" si="18"/>
        <v>24192</v>
      </c>
      <c r="M88" s="8">
        <f t="shared" si="10"/>
        <v>17064</v>
      </c>
      <c r="N88" s="8">
        <f t="shared" si="11"/>
        <v>17064</v>
      </c>
    </row>
    <row r="89" spans="6:14" x14ac:dyDescent="0.3">
      <c r="G89" s="46"/>
      <c r="I89">
        <f>+IF(פריסה!$B$32&gt;F91,"לא רלוונטי",פריסה!$B$32)</f>
        <v>2019</v>
      </c>
      <c r="J89" s="3" t="s">
        <v>50</v>
      </c>
      <c r="K89" s="8">
        <f>IF(I89="לא רלוונטי",0,+פריסה!$D$32+פריסה!$C$32)</f>
        <v>144000</v>
      </c>
      <c r="L89" s="8">
        <f t="shared" si="18"/>
        <v>19392</v>
      </c>
      <c r="M89" s="8">
        <f t="shared" si="10"/>
        <v>12264</v>
      </c>
      <c r="N89" s="8">
        <f t="shared" si="11"/>
        <v>12264</v>
      </c>
    </row>
    <row r="90" spans="6:14" x14ac:dyDescent="0.3">
      <c r="G90" s="46"/>
      <c r="I90">
        <f>+I89</f>
        <v>2019</v>
      </c>
      <c r="J90" t="s">
        <v>51</v>
      </c>
      <c r="K90" s="8">
        <f>IF(I90="לא רלוונטי",0,+פריסה!$D$32+פריסה!$C$32-פריסה!$E$32)</f>
        <v>120000</v>
      </c>
      <c r="L90" s="8">
        <f t="shared" si="18"/>
        <v>14592</v>
      </c>
      <c r="M90" s="8">
        <f t="shared" si="10"/>
        <v>7464</v>
      </c>
      <c r="N90" s="8">
        <f t="shared" si="11"/>
        <v>7464</v>
      </c>
    </row>
    <row r="91" spans="6:14" x14ac:dyDescent="0.3">
      <c r="F91" s="13">
        <f>+F85+F92-1</f>
        <v>2020</v>
      </c>
      <c r="G91" s="46"/>
      <c r="H91" s="9">
        <f>+N91-N89</f>
        <v>15537.599999999999</v>
      </c>
      <c r="I91">
        <f>+I90</f>
        <v>2019</v>
      </c>
      <c r="J91" t="s">
        <v>52</v>
      </c>
      <c r="K91" s="8">
        <f>IF(I91="לא רלוונטי",0,+פריסה!$D$32+פריסה!$C$32+C21)</f>
        <v>204000</v>
      </c>
      <c r="L91" s="8">
        <f t="shared" si="18"/>
        <v>34929.599999999999</v>
      </c>
      <c r="M91" s="8">
        <f t="shared" si="10"/>
        <v>27801.599999999999</v>
      </c>
      <c r="N91" s="8">
        <f t="shared" si="11"/>
        <v>27801.599999999999</v>
      </c>
    </row>
    <row r="92" spans="6:14" x14ac:dyDescent="0.3">
      <c r="F92" s="13">
        <f>+B18-3</f>
        <v>3</v>
      </c>
      <c r="G92" s="46"/>
      <c r="H92" s="9">
        <f>+N92-N90</f>
        <v>12897.599999999999</v>
      </c>
      <c r="I92">
        <f>+I89</f>
        <v>2019</v>
      </c>
      <c r="J92" t="s">
        <v>53</v>
      </c>
      <c r="K92" s="8">
        <f>IF(I92="לא רלוונטי",0,+פריסה!$D$32+פריסה!$C$32+C21-פריסה!$E$32)</f>
        <v>180000</v>
      </c>
      <c r="L92" s="8">
        <f t="shared" si="18"/>
        <v>27489.599999999999</v>
      </c>
      <c r="M92" s="8">
        <f t="shared" si="10"/>
        <v>20361.599999999999</v>
      </c>
      <c r="N92" s="8">
        <f t="shared" si="11"/>
        <v>20361.599999999999</v>
      </c>
    </row>
    <row r="93" spans="6:14" x14ac:dyDescent="0.3">
      <c r="G93" s="46"/>
      <c r="I93">
        <f>+IF(פריסה!$B$33&gt;F91,"לא רלוונטי",פריסה!$B$33)</f>
        <v>2020</v>
      </c>
      <c r="J93" s="3" t="s">
        <v>50</v>
      </c>
      <c r="K93" s="8">
        <f>IF(I93="לא רלוונטי",0,+פריסה!$D$33+פריסה!$C$33)</f>
        <v>144000</v>
      </c>
      <c r="L93" s="8">
        <f t="shared" si="18"/>
        <v>19392</v>
      </c>
      <c r="M93" s="8">
        <f t="shared" si="10"/>
        <v>12264</v>
      </c>
      <c r="N93" s="8">
        <f t="shared" si="11"/>
        <v>12264</v>
      </c>
    </row>
    <row r="94" spans="6:14" x14ac:dyDescent="0.3">
      <c r="G94" s="46"/>
      <c r="I94">
        <f>+I93</f>
        <v>2020</v>
      </c>
      <c r="J94" t="s">
        <v>51</v>
      </c>
      <c r="K94" s="8">
        <f>IF(I94="לא רלוונטי",0,+פריסה!$D$33+פריסה!$C$33-פריסה!$E$33)</f>
        <v>120000</v>
      </c>
      <c r="L94" s="8">
        <f t="shared" si="18"/>
        <v>14592</v>
      </c>
      <c r="M94" s="8">
        <f t="shared" si="10"/>
        <v>7464</v>
      </c>
      <c r="N94" s="8">
        <f t="shared" si="11"/>
        <v>7464</v>
      </c>
    </row>
    <row r="95" spans="6:14" x14ac:dyDescent="0.3">
      <c r="G95" s="46"/>
      <c r="H95" s="9">
        <f>+N95-N93</f>
        <v>15537.599999999999</v>
      </c>
      <c r="I95">
        <f t="shared" ref="I95:I96" si="19">+I94</f>
        <v>2020</v>
      </c>
      <c r="J95" t="s">
        <v>52</v>
      </c>
      <c r="K95" s="8">
        <f>IF(I95="לא רלוונטי",0,+פריסה!$D$33+פריסה!$C$33+C21)</f>
        <v>204000</v>
      </c>
      <c r="L95" s="8">
        <f t="shared" si="18"/>
        <v>34929.599999999999</v>
      </c>
      <c r="M95" s="8">
        <f t="shared" si="10"/>
        <v>27801.599999999999</v>
      </c>
      <c r="N95" s="8">
        <f t="shared" si="11"/>
        <v>27801.599999999999</v>
      </c>
    </row>
    <row r="96" spans="6:14" x14ac:dyDescent="0.3">
      <c r="G96" s="46"/>
      <c r="H96" s="9">
        <f>+N96-N94</f>
        <v>12897.599999999999</v>
      </c>
      <c r="I96">
        <f t="shared" si="19"/>
        <v>2020</v>
      </c>
      <c r="J96" t="s">
        <v>53</v>
      </c>
      <c r="K96" s="8">
        <f>IF(I96="לא רלוונטי",0,+פריסה!$D$33+פריסה!$C$33+C21-פריסה!$E$33)</f>
        <v>180000</v>
      </c>
      <c r="L96" s="8">
        <f t="shared" si="18"/>
        <v>27489.599999999999</v>
      </c>
      <c r="M96" s="8">
        <f t="shared" si="10"/>
        <v>20361.599999999999</v>
      </c>
      <c r="N96" s="8">
        <f t="shared" si="11"/>
        <v>20361.599999999999</v>
      </c>
    </row>
    <row r="97" spans="6:14" x14ac:dyDescent="0.3">
      <c r="G97" s="46"/>
      <c r="M97" s="8"/>
      <c r="N97" s="8"/>
    </row>
    <row r="98" spans="6:14" x14ac:dyDescent="0.3">
      <c r="G98" s="46"/>
      <c r="H98" s="9">
        <f>+H95+H91+H87</f>
        <v>45292.799999999996</v>
      </c>
      <c r="M98" s="8"/>
      <c r="N98" s="8"/>
    </row>
    <row r="99" spans="6:14" x14ac:dyDescent="0.3">
      <c r="G99" s="46"/>
      <c r="H99" s="9">
        <f>+H96+H92+H88</f>
        <v>37795.199999999997</v>
      </c>
      <c r="M99" s="8"/>
      <c r="N99" s="8"/>
    </row>
    <row r="101" spans="6:14" x14ac:dyDescent="0.3">
      <c r="F101">
        <f>+פריסה!B31</f>
        <v>2018</v>
      </c>
      <c r="G101" s="46" t="s">
        <v>65</v>
      </c>
      <c r="I101">
        <f>+IF(F101&gt;F105,"לא רלוונטי",פריסה!$B$31)</f>
        <v>2018</v>
      </c>
      <c r="J101" s="3" t="s">
        <v>50</v>
      </c>
      <c r="K101" s="8">
        <f>IF(I101="לא רלוונטי",0,+פריסה!$D$31+פריסה!$C$31)</f>
        <v>132000</v>
      </c>
      <c r="L101" s="8">
        <f t="shared" ref="L101:L108" si="20">IF(K101&lt;=$J$3,K101*$K$3,IF(K101&lt;=$J$4,(K101-$J$3)*$K$4+$J$3*$K$3,IF(K101&lt;=$J$5,(K101-$J$4)*$K$5+($J$4-$J$3)*$K$4+$J$3*$K$3,IF(K101&lt;=$J$6,(K101-$J$5)*$K$6+($J$5-$J$4)*$K$5+($J$4-$J$3)*$K$4+$J$3*$K$3,IF(K101&lt;=$J$7,(K101-$J$6)*$K$7+($J$6-$J$5)*$K$6+($J$5-$J$4)*$K$5+($J$4-$J$3)*$K$4+$J$3*$K$3,IF(K101&lt;=$J$8,(K101-$J$7)*$K$8+($J$7-$J$6)*$K$7+($J$6-$J$5)*$K$6+($J$5-$J$4)*$K$5+($J$4-$J$3)*$K$4+$J$3*$K$3,(K101-$J$8)*$K$9+($J$8-$J$7)*$K$8+($J$7-$J$6)*$K$7+($J$6-$J$5)*$K$6+($J$5-$J$4)*$K$5+($J$4-$J$3)*$K$4+$J$3*$K$3))))))</f>
        <v>16992</v>
      </c>
      <c r="M101" s="8">
        <f t="shared" si="10"/>
        <v>9864</v>
      </c>
      <c r="N101" s="8">
        <f t="shared" si="11"/>
        <v>9864</v>
      </c>
    </row>
    <row r="102" spans="6:14" x14ac:dyDescent="0.3">
      <c r="G102" s="46"/>
      <c r="I102">
        <f>+I101</f>
        <v>2018</v>
      </c>
      <c r="J102" t="s">
        <v>51</v>
      </c>
      <c r="K102" s="8">
        <f>IF(I102="לא רלוונטי",0,+פריסה!$D$31+פריסה!$C$31-פריסה!$E$31)</f>
        <v>108000</v>
      </c>
      <c r="L102" s="8">
        <f t="shared" si="20"/>
        <v>12192</v>
      </c>
      <c r="M102" s="8">
        <f t="shared" si="10"/>
        <v>5064</v>
      </c>
      <c r="N102" s="8">
        <f t="shared" si="11"/>
        <v>5064</v>
      </c>
    </row>
    <row r="103" spans="6:14" x14ac:dyDescent="0.3">
      <c r="G103" s="46"/>
      <c r="H103" s="9">
        <f>+N103-N101</f>
        <v>23517.599999999999</v>
      </c>
      <c r="I103">
        <f>+I102</f>
        <v>2018</v>
      </c>
      <c r="J103" t="s">
        <v>52</v>
      </c>
      <c r="K103" s="8">
        <f>IF(I103="לא רלוונטי",0,+פריסה!$D$31+פריסה!$C$31+C22)</f>
        <v>222000</v>
      </c>
      <c r="L103" s="8">
        <f t="shared" si="20"/>
        <v>40509.599999999999</v>
      </c>
      <c r="M103" s="8">
        <f t="shared" si="10"/>
        <v>33381.599999999999</v>
      </c>
      <c r="N103" s="8">
        <f t="shared" si="11"/>
        <v>33381.599999999999</v>
      </c>
    </row>
    <row r="104" spans="6:14" x14ac:dyDescent="0.3">
      <c r="G104" s="46"/>
      <c r="H104" s="9">
        <f>+N104-N102</f>
        <v>20877.599999999999</v>
      </c>
      <c r="I104">
        <f>+I103</f>
        <v>2018</v>
      </c>
      <c r="J104" t="s">
        <v>53</v>
      </c>
      <c r="K104" s="8">
        <f>IF(I104="לא רלוונטי",0,+פריסה!$D$31+פריסה!$C$31+C22-פריסה!$E$31)</f>
        <v>198000</v>
      </c>
      <c r="L104" s="8">
        <f t="shared" si="20"/>
        <v>33069.599999999999</v>
      </c>
      <c r="M104" s="8">
        <f t="shared" si="10"/>
        <v>25941.599999999999</v>
      </c>
      <c r="N104" s="8">
        <f t="shared" si="11"/>
        <v>25941.599999999999</v>
      </c>
    </row>
    <row r="105" spans="6:14" x14ac:dyDescent="0.3">
      <c r="F105" s="13">
        <f>F101+F106-1</f>
        <v>2019</v>
      </c>
      <c r="G105" s="46"/>
      <c r="H105" s="13"/>
      <c r="I105">
        <f>+IF(פריסה!$B$32&gt;F105,"לא רלוונטי",פריסה!$B$32)</f>
        <v>2019</v>
      </c>
      <c r="J105" s="3" t="s">
        <v>50</v>
      </c>
      <c r="K105" s="8">
        <f>IF(I105="לא רלוונטי",0,+פריסה!$D$32+פריסה!$C$32)</f>
        <v>144000</v>
      </c>
      <c r="L105" s="8">
        <f t="shared" si="20"/>
        <v>19392</v>
      </c>
      <c r="M105" s="8">
        <f t="shared" si="10"/>
        <v>12264</v>
      </c>
      <c r="N105" s="8">
        <f t="shared" si="11"/>
        <v>12264</v>
      </c>
    </row>
    <row r="106" spans="6:14" x14ac:dyDescent="0.3">
      <c r="F106" s="13">
        <f>+B18-4</f>
        <v>2</v>
      </c>
      <c r="G106" s="46"/>
      <c r="H106" s="13"/>
      <c r="I106">
        <f>+I105</f>
        <v>2019</v>
      </c>
      <c r="J106" t="s">
        <v>51</v>
      </c>
      <c r="K106" s="8">
        <f>IF(I106="לא רלוונטי",0,+פריסה!$D$32+פריסה!$C$32-פריסה!$E$32)</f>
        <v>120000</v>
      </c>
      <c r="L106" s="8">
        <f t="shared" si="20"/>
        <v>14592</v>
      </c>
      <c r="M106" s="8">
        <f t="shared" ref="M106:M116" si="21">L106-$H$1</f>
        <v>7464</v>
      </c>
      <c r="N106" s="8">
        <f t="shared" ref="N106:N116" si="22">IF(M106&gt;0,M106,0)</f>
        <v>7464</v>
      </c>
    </row>
    <row r="107" spans="6:14" x14ac:dyDescent="0.3">
      <c r="G107" s="46"/>
      <c r="H107" s="9">
        <f>+N107-N105</f>
        <v>24837.599999999999</v>
      </c>
      <c r="I107">
        <f>+I106</f>
        <v>2019</v>
      </c>
      <c r="J107" t="s">
        <v>52</v>
      </c>
      <c r="K107" s="8">
        <f>IF(I107="לא רלוונטי",0,+פריסה!$D$32+פריסה!$C$32+C22)</f>
        <v>234000</v>
      </c>
      <c r="L107" s="8">
        <f t="shared" si="20"/>
        <v>44229.599999999999</v>
      </c>
      <c r="M107" s="8">
        <f t="shared" si="21"/>
        <v>37101.599999999999</v>
      </c>
      <c r="N107" s="8">
        <f t="shared" si="22"/>
        <v>37101.599999999999</v>
      </c>
    </row>
    <row r="108" spans="6:14" x14ac:dyDescent="0.3">
      <c r="G108" s="46"/>
      <c r="H108" s="9">
        <f>+N108-N106</f>
        <v>22197.599999999999</v>
      </c>
      <c r="I108">
        <f>+I105</f>
        <v>2019</v>
      </c>
      <c r="J108" t="s">
        <v>53</v>
      </c>
      <c r="K108" s="8">
        <f>IF(I108="לא רלוונטי",0,+פריסה!$D$32+פריסה!$C$32+C22-פריסה!$E$32)</f>
        <v>210000</v>
      </c>
      <c r="L108" s="8">
        <f t="shared" si="20"/>
        <v>36789.599999999999</v>
      </c>
      <c r="M108" s="8">
        <f t="shared" si="21"/>
        <v>29661.599999999999</v>
      </c>
      <c r="N108" s="8">
        <f t="shared" si="22"/>
        <v>29661.599999999999</v>
      </c>
    </row>
    <row r="109" spans="6:14" x14ac:dyDescent="0.3">
      <c r="G109" s="46"/>
      <c r="H109" s="13"/>
      <c r="M109" s="8"/>
      <c r="N109" s="8"/>
    </row>
    <row r="110" spans="6:14" x14ac:dyDescent="0.3">
      <c r="G110" s="46"/>
      <c r="H110" s="13">
        <f>+H107+H103</f>
        <v>48355.199999999997</v>
      </c>
      <c r="M110" s="8"/>
      <c r="N110" s="8"/>
    </row>
    <row r="111" spans="6:14" x14ac:dyDescent="0.3">
      <c r="G111" s="46"/>
      <c r="H111" s="13">
        <f>+H108+H104</f>
        <v>43075.199999999997</v>
      </c>
      <c r="M111" s="8"/>
      <c r="N111" s="8"/>
    </row>
    <row r="113" spans="6:14" x14ac:dyDescent="0.3">
      <c r="F113" s="13">
        <f>+פריסה!B31</f>
        <v>2018</v>
      </c>
      <c r="G113" s="46" t="s">
        <v>66</v>
      </c>
      <c r="I113">
        <f>+IF(F113&gt;F115,"לא רלוונטי",פריסה!$B$31)</f>
        <v>2018</v>
      </c>
      <c r="J113" s="3" t="s">
        <v>50</v>
      </c>
      <c r="K113" s="8">
        <f>IF(I113="לא רלוונטי",0,+פריסה!$D$31+פריסה!$C$31)</f>
        <v>132000</v>
      </c>
      <c r="L113" s="8">
        <f t="shared" ref="L113:L116" si="23">IF(K113&lt;=$J$3,K113*$K$3,IF(K113&lt;=$J$4,(K113-$J$3)*$K$4+$J$3*$K$3,IF(K113&lt;=$J$5,(K113-$J$4)*$K$5+($J$4-$J$3)*$K$4+$J$3*$K$3,IF(K113&lt;=$J$6,(K113-$J$5)*$K$6+($J$5-$J$4)*$K$5+($J$4-$J$3)*$K$4+$J$3*$K$3,IF(K113&lt;=$J$7,(K113-$J$6)*$K$7+($J$6-$J$5)*$K$6+($J$5-$J$4)*$K$5+($J$4-$J$3)*$K$4+$J$3*$K$3,IF(K113&lt;=$J$8,(K113-$J$7)*$K$8+($J$7-$J$6)*$K$7+($J$6-$J$5)*$K$6+($J$5-$J$4)*$K$5+($J$4-$J$3)*$K$4+$J$3*$K$3,(K113-$J$8)*$K$9+($J$8-$J$7)*$K$8+($J$7-$J$6)*$K$7+($J$6-$J$5)*$K$6+($J$5-$J$4)*$K$5+($J$4-$J$3)*$K$4+$J$3*$K$3))))))</f>
        <v>16992</v>
      </c>
      <c r="M113" s="8">
        <f t="shared" si="21"/>
        <v>9864</v>
      </c>
      <c r="N113" s="8">
        <f t="shared" si="22"/>
        <v>9864</v>
      </c>
    </row>
    <row r="114" spans="6:14" x14ac:dyDescent="0.3">
      <c r="G114" s="46"/>
      <c r="I114">
        <f>+I113</f>
        <v>2018</v>
      </c>
      <c r="J114" t="s">
        <v>51</v>
      </c>
      <c r="K114" s="8">
        <f>IF(I114="לא רלוונטי",0,+פריסה!$D$31+פריסה!$C$31-פריסה!$E$31)</f>
        <v>108000</v>
      </c>
      <c r="L114" s="8">
        <f t="shared" si="23"/>
        <v>12192</v>
      </c>
      <c r="M114" s="8">
        <f t="shared" si="21"/>
        <v>5064</v>
      </c>
      <c r="N114" s="8">
        <f t="shared" si="22"/>
        <v>5064</v>
      </c>
    </row>
    <row r="115" spans="6:14" x14ac:dyDescent="0.3">
      <c r="F115" s="13">
        <f>F113+F116-1</f>
        <v>2018</v>
      </c>
      <c r="G115" s="46"/>
      <c r="H115" s="9">
        <f>+N115-N113</f>
        <v>54345.600000000006</v>
      </c>
      <c r="I115">
        <f>+I114</f>
        <v>2018</v>
      </c>
      <c r="J115" t="s">
        <v>52</v>
      </c>
      <c r="K115" s="8">
        <f>IF(I115="לא רלוונטי",0,+פריסה!$D$31+פריסה!$C$31+C23)</f>
        <v>312000</v>
      </c>
      <c r="L115" s="8">
        <f t="shared" si="23"/>
        <v>71337.600000000006</v>
      </c>
      <c r="M115" s="8">
        <f t="shared" si="21"/>
        <v>64209.600000000006</v>
      </c>
      <c r="N115" s="8">
        <f t="shared" si="22"/>
        <v>64209.600000000006</v>
      </c>
    </row>
    <row r="116" spans="6:14" x14ac:dyDescent="0.3">
      <c r="F116" s="13">
        <f>+B18-5</f>
        <v>1</v>
      </c>
      <c r="G116" s="46"/>
      <c r="H116" s="9">
        <f>+N116-N114</f>
        <v>50745.599999999999</v>
      </c>
      <c r="I116">
        <f>+I115</f>
        <v>2018</v>
      </c>
      <c r="J116" t="s">
        <v>53</v>
      </c>
      <c r="K116" s="8">
        <f>IF(I116="לא רלוונטי",0,+פריסה!$D$31+פריסה!$C$31+C23-פריסה!$E$31)</f>
        <v>288000</v>
      </c>
      <c r="L116" s="8">
        <f t="shared" si="23"/>
        <v>62937.599999999999</v>
      </c>
      <c r="M116" s="8">
        <f t="shared" si="21"/>
        <v>55809.599999999999</v>
      </c>
      <c r="N116" s="8">
        <f t="shared" si="22"/>
        <v>55809.599999999999</v>
      </c>
    </row>
    <row r="117" spans="6:14" x14ac:dyDescent="0.3">
      <c r="G117" s="46"/>
      <c r="M117" s="8"/>
      <c r="N117" s="8"/>
    </row>
    <row r="118" spans="6:14" x14ac:dyDescent="0.3">
      <c r="G118" s="46"/>
      <c r="H118" s="9">
        <f>+H115</f>
        <v>54345.600000000006</v>
      </c>
      <c r="M118" s="8"/>
      <c r="N118" s="8"/>
    </row>
    <row r="119" spans="6:14" x14ac:dyDescent="0.3">
      <c r="G119" s="46"/>
      <c r="H119" s="9">
        <f>+H116</f>
        <v>50745.599999999999</v>
      </c>
      <c r="M119" s="8"/>
      <c r="N119" s="8"/>
    </row>
  </sheetData>
  <sheetProtection password="C73F" sheet="1" objects="1" scenarios="1" selectLockedCells="1" selectUnlockedCells="1"/>
  <mergeCells count="6">
    <mergeCell ref="G113:G119"/>
    <mergeCell ref="G13:G39"/>
    <mergeCell ref="G41:G63"/>
    <mergeCell ref="G65:G83"/>
    <mergeCell ref="G85:G99"/>
    <mergeCell ref="G101:G11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rightToLeft="1" workbookViewId="0">
      <selection activeCell="E23" sqref="E23"/>
    </sheetView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</vt:i4>
      </vt:variant>
    </vt:vector>
  </HeadingPairs>
  <TitlesOfParts>
    <vt:vector size="6" baseType="lpstr">
      <vt:lpstr>נתונים כללים</vt:lpstr>
      <vt:lpstr>חישוב מס הכנסה</vt:lpstr>
      <vt:lpstr>פריסה</vt:lpstr>
      <vt:lpstr>חישובי עזר </vt:lpstr>
      <vt:lpstr>גיליון1</vt:lpstr>
      <vt:lpstr>'נתונים כללים'!WPrint_Area_W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</dc:creator>
  <cp:lastModifiedBy>מאיר נביפנה</cp:lastModifiedBy>
  <cp:lastPrinted>2017-10-30T12:09:20Z</cp:lastPrinted>
  <dcterms:created xsi:type="dcterms:W3CDTF">2015-05-20T05:41:46Z</dcterms:created>
  <dcterms:modified xsi:type="dcterms:W3CDTF">2021-09-03T07:56:17Z</dcterms:modified>
</cp:coreProperties>
</file>